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Hivatal\Pénzügy\2022\Zárszámadás 2022\Testületi anyag\Végleges zárszámadás testületnek\"/>
    </mc:Choice>
  </mc:AlternateContent>
  <xr:revisionPtr revIDLastSave="0" documentId="8_{57B11C37-5F86-46BF-B086-3D9B445226E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I. előlap" sheetId="23" r:id="rId1"/>
    <sheet name="13.a.sz.m.Maradvány - int" sheetId="32" r:id="rId2"/>
    <sheet name="13.b.sz.m.Maradványkim.-Önk" sheetId="33" r:id="rId3"/>
    <sheet name="13.c.sz.m.Kötött maradvány" sheetId="34" r:id="rId4"/>
    <sheet name="13.d.sz.m.Szabad maradvány" sheetId="49" r:id="rId5"/>
    <sheet name="1.sz. tájék.Részesedések" sheetId="125" r:id="rId6"/>
    <sheet name="2.sz.tájék Vagyonkimutatás" sheetId="150" r:id="rId7"/>
    <sheet name="3.sz.tájék.táb. Többéves" sheetId="104" r:id="rId8"/>
    <sheet name="4.sz.tájék.Adósságszolgálat" sheetId="99" r:id="rId9"/>
    <sheet name="5.sz.tájék. Pénzeszközök vált" sheetId="127" r:id="rId10"/>
    <sheet name="6.sz.tájék. Mérleg" sheetId="126" r:id="rId11"/>
    <sheet name="7.sz.tájék. Eredménykimutatás" sheetId="128" r:id="rId12"/>
    <sheet name="8.sz.tájék. Mérlegszerű" sheetId="20" r:id="rId13"/>
    <sheet name="9.sz.tájék.tábla Hitelképesség " sheetId="149" r:id="rId14"/>
    <sheet name="10.sz.tájék.tábla Közvetett tám" sheetId="129" r:id="rId15"/>
    <sheet name="1.sz.függ.Orvosi rendelő" sheetId="152" r:id="rId16"/>
    <sheet name="2.sz.függ.A3 csatorna" sheetId="153" r:id="rId17"/>
    <sheet name="3. sz. függ. Energetika" sheetId="154" r:id="rId18"/>
    <sheet name="4. sz. függ. Bölcsőde új tagint" sheetId="155" r:id="rId19"/>
    <sheet name="5. sz. függNMI Művház tetőfelúj" sheetId="156" r:id="rId20"/>
    <sheet name="6.sz.függ.BezerédiSportp,tanö" sheetId="157" r:id="rId21"/>
    <sheet name="7. függ.GyermekorvRend tető" sheetId="158" r:id="rId22"/>
    <sheet name="8.sz.függ Bölcsőde vizesblokk" sheetId="159" r:id="rId23"/>
    <sheet name="9.sz.fügDh.-Taksony kerékpársáv" sheetId="160" r:id="rId24"/>
    <sheet name="10.sz.függ Kult.bérfejl" sheetId="161" r:id="rId25"/>
    <sheet name="11. függ.Töltőállomás fennt." sheetId="162" r:id="rId26"/>
    <sheet name="12.függ.Teniszpálya fenntartás" sheetId="163" r:id="rId27"/>
    <sheet name="13.függ Bölcsőde fenntartás" sheetId="164" r:id="rId28"/>
    <sheet name="14.függ A3 fenntartás" sheetId="165" r:id="rId29"/>
    <sheet name="15.függ Temető utca fenntart." sheetId="166" r:id="rId30"/>
    <sheet name="16.függ SzázszorszépÓv. fennt." sheetId="167" r:id="rId31"/>
    <sheet name="17.függ Energetika fennt." sheetId="168" r:id="rId32"/>
  </sheets>
  <externalReferences>
    <externalReference r:id="rId33"/>
    <externalReference r:id="rId34"/>
    <externalReference r:id="rId35"/>
  </externalReferences>
  <definedNames>
    <definedName name="csak" localSheetId="5">#REF!</definedName>
    <definedName name="csak" localSheetId="15">#REF!</definedName>
    <definedName name="csak" localSheetId="25">#REF!</definedName>
    <definedName name="csak" localSheetId="26">#REF!</definedName>
    <definedName name="csak" localSheetId="27">#REF!</definedName>
    <definedName name="csak" localSheetId="16">#REF!</definedName>
    <definedName name="csak" localSheetId="6">#REF!</definedName>
    <definedName name="csak" localSheetId="17">#REF!</definedName>
    <definedName name="csak" localSheetId="7">#REF!</definedName>
    <definedName name="csak" localSheetId="8">#REF!</definedName>
    <definedName name="csak" localSheetId="9">#REF!</definedName>
    <definedName name="csak" localSheetId="10">#REF!</definedName>
    <definedName name="csak" localSheetId="11">#REF!</definedName>
    <definedName name="csak">#REF!</definedName>
    <definedName name="felev" localSheetId="5">#REF!</definedName>
    <definedName name="felev" localSheetId="1">#REF!</definedName>
    <definedName name="felev" localSheetId="2">#REF!</definedName>
    <definedName name="felev" localSheetId="3">#REF!</definedName>
    <definedName name="felev" localSheetId="4">#REF!</definedName>
    <definedName name="felev" localSheetId="6">#REF!</definedName>
    <definedName name="felev" localSheetId="7">#REF!</definedName>
    <definedName name="felev" localSheetId="12">#REF!</definedName>
    <definedName name="felev">#REF!</definedName>
    <definedName name="funkcio" localSheetId="5">#REF!</definedName>
    <definedName name="funkcio" localSheetId="1">#REF!</definedName>
    <definedName name="funkcio" localSheetId="2">#REF!</definedName>
    <definedName name="funkcio" localSheetId="3">#REF!</definedName>
    <definedName name="funkcio" localSheetId="4">#REF!</definedName>
    <definedName name="funkcio" localSheetId="7">#REF!</definedName>
    <definedName name="funkcio" localSheetId="12">#REF!</definedName>
    <definedName name="funkcio">#REF!</definedName>
    <definedName name="hjkhjh">#REF!</definedName>
    <definedName name="Igenyles_elszamolas_tip" localSheetId="5">#REF!</definedName>
    <definedName name="Igenyles_elszamolas_tip" localSheetId="1">#REF!</definedName>
    <definedName name="Igenyles_elszamolas_tip" localSheetId="2">#REF!</definedName>
    <definedName name="Igenyles_elszamolas_tip" localSheetId="3">#REF!</definedName>
    <definedName name="Igenyles_elszamolas_tip" localSheetId="4">#REF!</definedName>
    <definedName name="Igenyles_elszamolas_tip" localSheetId="12">#REF!</definedName>
    <definedName name="Igenyles_elszamolas_tip">#REF!</definedName>
    <definedName name="iiiiii" localSheetId="7">#REF!</definedName>
    <definedName name="iiiiii">#REF!</definedName>
    <definedName name="jjj" localSheetId="7">#REF!</definedName>
    <definedName name="jjj">#REF!</definedName>
    <definedName name="kkkk" localSheetId="7">#REF!</definedName>
    <definedName name="kkkk">#REF!</definedName>
    <definedName name="koltseg_k" localSheetId="5">#REF!</definedName>
    <definedName name="koltseg_k" localSheetId="12">#REF!</definedName>
    <definedName name="koltseg_k">#REF!</definedName>
    <definedName name="Koltseg_kat" localSheetId="5">#REF!</definedName>
    <definedName name="Koltseg_kat" localSheetId="12">#REF!</definedName>
    <definedName name="Koltseg_kat">#REF!</definedName>
    <definedName name="_xlnm.Print_Titles" localSheetId="6">'2.sz.tájék Vagyonkimutatás'!$A:$B,'2.sz.tájék Vagyonkimutatás'!$1:$2</definedName>
    <definedName name="_xlnm.Print_Titles" localSheetId="10">'6.sz.tájék. Mérleg'!$1:$2</definedName>
    <definedName name="_xlnm.Print_Titles" localSheetId="13">'9.sz.tájék.tábla Hitelképesség '!$A:$B</definedName>
    <definedName name="_xlnm.Print_Area" localSheetId="5">'1.sz. tájék.Részesedések'!$A$1:$M$21</definedName>
    <definedName name="_xlnm.Print_Area" localSheetId="15">'1.sz.függ.Orvosi rendelő'!$A$1:$M$24</definedName>
    <definedName name="_xlnm.Print_Area" localSheetId="24">'10.sz.függ Kult.bérfejl'!$A$1:$E$24</definedName>
    <definedName name="_xlnm.Print_Area" localSheetId="14">'10.sz.tájék.tábla Közvetett tám'!$A$1:$L$30</definedName>
    <definedName name="_xlnm.Print_Area" localSheetId="2">'13.b.sz.m.Maradványkim.-Önk'!$A$1:$F$42</definedName>
    <definedName name="_xlnm.Print_Area" localSheetId="3">'13.c.sz.m.Kötött maradvány'!$A$1:$D$294</definedName>
    <definedName name="_xlnm.Print_Area" localSheetId="4">'13.d.sz.m.Szabad maradvány'!$A$1:$E$85</definedName>
    <definedName name="_xlnm.Print_Area" localSheetId="31">'17.függ Energetika fennt.'!$A$1:$H$17</definedName>
    <definedName name="_xlnm.Print_Area" localSheetId="16">'2.sz.függ.A3 csatorna'!$A$1:$L$15</definedName>
    <definedName name="_xlnm.Print_Area" localSheetId="6">'2.sz.tájék Vagyonkimutatás'!$A$1:$V$82</definedName>
    <definedName name="_xlnm.Print_Area" localSheetId="17">'3. sz. függ. Energetika'!$A$1:$J$18</definedName>
    <definedName name="_xlnm.Print_Area" localSheetId="7">'3.sz.tájék.táb. Többéves'!$A$1:$J$20</definedName>
    <definedName name="_xlnm.Print_Area" localSheetId="18">'4. sz. függ. Bölcsőde új tagint'!$A$1:$H$16</definedName>
    <definedName name="_xlnm.Print_Area" localSheetId="8">'4.sz.tájék.Adósságszolgálat'!$A$1:$E$50</definedName>
    <definedName name="_xlnm.Print_Area" localSheetId="9">'5.sz.tájék. Pénzeszközök vált'!$A$1:$L$17</definedName>
    <definedName name="_xlnm.Print_Area" localSheetId="12">'8.sz.tájék. Mérlegszerű'!$A$1:$L$39</definedName>
    <definedName name="_xlnm.Print_Area" localSheetId="13">'9.sz.tájék.tábla Hitelképesség '!$A$1:$T$47</definedName>
    <definedName name="_xlnm.Print_Area" localSheetId="0">'II. előlap'!$A$1:$E$26</definedName>
    <definedName name="oooooooooooo" localSheetId="5">#REF!</definedName>
    <definedName name="oooooooooooo" localSheetId="15">#REF!</definedName>
    <definedName name="oooooooooooo" localSheetId="24">#REF!</definedName>
    <definedName name="oooooooooooo" localSheetId="25">#REF!</definedName>
    <definedName name="oooooooooooo" localSheetId="26">#REF!</definedName>
    <definedName name="oooooooooooo" localSheetId="1">#REF!</definedName>
    <definedName name="oooooooooooo" localSheetId="2">#REF!</definedName>
    <definedName name="oooooooooooo" localSheetId="3">#REF!</definedName>
    <definedName name="oooooooooooo" localSheetId="4">#REF!</definedName>
    <definedName name="oooooooooooo" localSheetId="27">#REF!</definedName>
    <definedName name="oooooooooooo" localSheetId="28">#REF!</definedName>
    <definedName name="oooooooooooo" localSheetId="29">#REF!</definedName>
    <definedName name="oooooooooooo" localSheetId="30">#REF!</definedName>
    <definedName name="oooooooooooo" localSheetId="31">#REF!</definedName>
    <definedName name="oooooooooooo" localSheetId="16">#REF!</definedName>
    <definedName name="oooooooooooo" localSheetId="6">#REF!</definedName>
    <definedName name="oooooooooooo" localSheetId="17">#REF!</definedName>
    <definedName name="oooooooooooo" localSheetId="7">#REF!</definedName>
    <definedName name="oooooooooooo" localSheetId="18">#REF!</definedName>
    <definedName name="oooooooooooo" localSheetId="8">#REF!</definedName>
    <definedName name="oooooooooooo" localSheetId="19">#REF!</definedName>
    <definedName name="oooooooooooo" localSheetId="9">#REF!</definedName>
    <definedName name="oooooooooooo" localSheetId="20">#REF!</definedName>
    <definedName name="oooooooooooo" localSheetId="10">#REF!</definedName>
    <definedName name="oooooooooooo" localSheetId="21">#REF!</definedName>
    <definedName name="oooooooooooo" localSheetId="11">#REF!</definedName>
    <definedName name="oooooooooooo">#REF!</definedName>
    <definedName name="pppppp" localSheetId="5">#REF!</definedName>
    <definedName name="pppppp" localSheetId="15">#REF!</definedName>
    <definedName name="pppppp" localSheetId="24">#REF!</definedName>
    <definedName name="pppppp" localSheetId="25">#REF!</definedName>
    <definedName name="pppppp" localSheetId="26">#REF!</definedName>
    <definedName name="pppppp" localSheetId="1">#REF!</definedName>
    <definedName name="pppppp" localSheetId="2">#REF!</definedName>
    <definedName name="pppppp" localSheetId="3">#REF!</definedName>
    <definedName name="pppppp" localSheetId="4">#REF!</definedName>
    <definedName name="pppppp" localSheetId="27">#REF!</definedName>
    <definedName name="pppppp" localSheetId="28">#REF!</definedName>
    <definedName name="pppppp" localSheetId="29">#REF!</definedName>
    <definedName name="pppppp" localSheetId="30">#REF!</definedName>
    <definedName name="pppppp" localSheetId="31">#REF!</definedName>
    <definedName name="pppppp" localSheetId="16">#REF!</definedName>
    <definedName name="pppppp" localSheetId="6">#REF!</definedName>
    <definedName name="pppppp" localSheetId="17">#REF!</definedName>
    <definedName name="pppppp" localSheetId="7">#REF!</definedName>
    <definedName name="pppppp" localSheetId="18">#REF!</definedName>
    <definedName name="pppppp" localSheetId="8">#REF!</definedName>
    <definedName name="pppppp" localSheetId="19">#REF!</definedName>
    <definedName name="pppppp" localSheetId="20">#REF!</definedName>
    <definedName name="pppppp" localSheetId="21">#REF!</definedName>
    <definedName name="pppppp">#REF!</definedName>
    <definedName name="qqqqq" localSheetId="5">#REF!</definedName>
    <definedName name="qqqqq" localSheetId="1">#REF!</definedName>
    <definedName name="qqqqq" localSheetId="2">#REF!</definedName>
    <definedName name="qqqqq" localSheetId="3">#REF!</definedName>
    <definedName name="qqqqq" localSheetId="4">#REF!</definedName>
    <definedName name="qqqqq" localSheetId="7">#REF!</definedName>
    <definedName name="qqqqq" localSheetId="8">#REF!</definedName>
    <definedName name="qqqqq">#REF!</definedName>
    <definedName name="rrrrrrrrrrr" localSheetId="7">#REF!</definedName>
    <definedName name="rrrrrrrrrrr">#REF!</definedName>
    <definedName name="Szamviteli_kat" localSheetId="5">#REF!</definedName>
    <definedName name="Szamviteli_kat" localSheetId="3">#REF!</definedName>
    <definedName name="Szamviteli_kat" localSheetId="7">#REF!</definedName>
    <definedName name="Szamviteli_kat" localSheetId="12">#REF!</definedName>
    <definedName name="Szamviteli_kat">#REF!</definedName>
    <definedName name="téves">#REF!</definedName>
    <definedName name="vagyonkimut">#REF!</definedName>
    <definedName name="zghfhgf">#REF!</definedName>
  </definedNames>
  <calcPr calcId="191029"/>
</workbook>
</file>

<file path=xl/calcChain.xml><?xml version="1.0" encoding="utf-8"?>
<calcChain xmlns="http://schemas.openxmlformats.org/spreadsheetml/2006/main">
  <c r="D84" i="49" l="1"/>
  <c r="D83" i="49"/>
  <c r="F86" i="49"/>
  <c r="F69" i="49"/>
  <c r="F77" i="49"/>
  <c r="E24" i="161" l="1"/>
  <c r="C24" i="161"/>
  <c r="D23" i="161"/>
  <c r="D22" i="161"/>
  <c r="D24" i="161" s="1"/>
  <c r="D20" i="161"/>
  <c r="D12" i="161"/>
  <c r="C12" i="161"/>
  <c r="E11" i="161"/>
  <c r="E10" i="161"/>
  <c r="E12" i="161" s="1"/>
  <c r="E24" i="160"/>
  <c r="D24" i="160"/>
  <c r="C24" i="160"/>
  <c r="C23" i="160"/>
  <c r="E23" i="160" s="1"/>
  <c r="E22" i="160" s="1"/>
  <c r="D22" i="160"/>
  <c r="C21" i="160"/>
  <c r="E21" i="160" s="1"/>
  <c r="C20" i="160"/>
  <c r="E20" i="160" s="1"/>
  <c r="C19" i="160"/>
  <c r="E19" i="160" s="1"/>
  <c r="C18" i="160"/>
  <c r="E18" i="160" s="1"/>
  <c r="C17" i="160"/>
  <c r="E17" i="160" s="1"/>
  <c r="C16" i="160"/>
  <c r="E16" i="160" s="1"/>
  <c r="C15" i="160"/>
  <c r="E15" i="160" s="1"/>
  <c r="C14" i="160"/>
  <c r="E14" i="160" s="1"/>
  <c r="C13" i="160"/>
  <c r="E13" i="160" s="1"/>
  <c r="C12" i="160"/>
  <c r="E12" i="160" s="1"/>
  <c r="C11" i="160"/>
  <c r="C25" i="160" s="1"/>
  <c r="D10" i="160"/>
  <c r="D25" i="160" s="1"/>
  <c r="C8" i="160"/>
  <c r="E8" i="160" s="1"/>
  <c r="C7" i="160"/>
  <c r="E7" i="160" s="1"/>
  <c r="D6" i="160"/>
  <c r="C6" i="160"/>
  <c r="D10" i="159"/>
  <c r="C10" i="159"/>
  <c r="E9" i="159"/>
  <c r="E8" i="159"/>
  <c r="E10" i="159" s="1"/>
  <c r="D6" i="159"/>
  <c r="E6" i="159" s="1"/>
  <c r="E10" i="158"/>
  <c r="D10" i="158"/>
  <c r="C10" i="158"/>
  <c r="F9" i="158"/>
  <c r="F10" i="158" s="1"/>
  <c r="F8" i="158"/>
  <c r="D6" i="158"/>
  <c r="F6" i="158" s="1"/>
  <c r="E10" i="157"/>
  <c r="D10" i="157"/>
  <c r="C10" i="157"/>
  <c r="F9" i="157"/>
  <c r="F10" i="157" s="1"/>
  <c r="F8" i="157"/>
  <c r="F6" i="157"/>
  <c r="E10" i="156"/>
  <c r="D10" i="156"/>
  <c r="C10" i="156"/>
  <c r="F14" i="155"/>
  <c r="D14" i="155"/>
  <c r="C14" i="155"/>
  <c r="H13" i="155"/>
  <c r="H12" i="155"/>
  <c r="H11" i="155"/>
  <c r="H10" i="155"/>
  <c r="E9" i="155"/>
  <c r="H9" i="155" s="1"/>
  <c r="H8" i="155"/>
  <c r="G8" i="155"/>
  <c r="G14" i="155" s="1"/>
  <c r="J15" i="154"/>
  <c r="I15" i="154"/>
  <c r="H15" i="154"/>
  <c r="G15" i="154"/>
  <c r="F15" i="154"/>
  <c r="E15" i="154"/>
  <c r="D15" i="154"/>
  <c r="C15" i="154"/>
  <c r="H17" i="153"/>
  <c r="H18" i="153" s="1"/>
  <c r="L14" i="153"/>
  <c r="K14" i="153"/>
  <c r="J14" i="153"/>
  <c r="I14" i="153"/>
  <c r="F14" i="153"/>
  <c r="E14" i="153"/>
  <c r="D14" i="153"/>
  <c r="N9" i="153"/>
  <c r="C9" i="153"/>
  <c r="C14" i="153" s="1"/>
  <c r="H8" i="153"/>
  <c r="H14" i="153" s="1"/>
  <c r="G8" i="153"/>
  <c r="G14" i="153" s="1"/>
  <c r="L6" i="153"/>
  <c r="L21" i="152"/>
  <c r="K21" i="152"/>
  <c r="J21" i="152"/>
  <c r="G21" i="152"/>
  <c r="F21" i="152"/>
  <c r="E21" i="152"/>
  <c r="D21" i="152"/>
  <c r="C21" i="152"/>
  <c r="O20" i="152"/>
  <c r="N20" i="152"/>
  <c r="M20" i="152"/>
  <c r="N19" i="152"/>
  <c r="O19" i="152" s="1"/>
  <c r="M19" i="152"/>
  <c r="M18" i="152"/>
  <c r="N18" i="152" s="1"/>
  <c r="O18" i="152" s="1"/>
  <c r="M17" i="152"/>
  <c r="N17" i="152" s="1"/>
  <c r="O17" i="152" s="1"/>
  <c r="O16" i="152"/>
  <c r="N16" i="152"/>
  <c r="M16" i="152"/>
  <c r="N15" i="152"/>
  <c r="O15" i="152" s="1"/>
  <c r="M15" i="152"/>
  <c r="H15" i="152"/>
  <c r="H21" i="152" s="1"/>
  <c r="N14" i="152"/>
  <c r="O14" i="152" s="1"/>
  <c r="M14" i="152"/>
  <c r="M13" i="152"/>
  <c r="N13" i="152" s="1"/>
  <c r="O13" i="152" s="1"/>
  <c r="M12" i="152"/>
  <c r="N12" i="152" s="1"/>
  <c r="O12" i="152" s="1"/>
  <c r="O11" i="152"/>
  <c r="N11" i="152"/>
  <c r="M11" i="152"/>
  <c r="N10" i="152"/>
  <c r="O10" i="152" s="1"/>
  <c r="M10" i="152"/>
  <c r="M9" i="152"/>
  <c r="N9" i="152" s="1"/>
  <c r="O9" i="152" s="1"/>
  <c r="I8" i="152"/>
  <c r="I21" i="152" s="1"/>
  <c r="E11" i="160" l="1"/>
  <c r="E10" i="160" s="1"/>
  <c r="E25" i="160" s="1"/>
  <c r="H14" i="155"/>
  <c r="E14" i="155"/>
  <c r="F17" i="153"/>
  <c r="M8" i="152"/>
  <c r="M21" i="152" s="1"/>
  <c r="N8" i="152"/>
  <c r="O8" i="152" l="1"/>
  <c r="N21" i="152"/>
  <c r="D20" i="104" l="1"/>
  <c r="D13" i="104"/>
  <c r="J18" i="104"/>
  <c r="E18" i="104"/>
  <c r="E15" i="104" s="1"/>
  <c r="F15" i="104"/>
  <c r="G15" i="104"/>
  <c r="H15" i="104"/>
  <c r="I15" i="104"/>
  <c r="D15" i="104"/>
  <c r="E82" i="150" l="1"/>
  <c r="E77" i="150"/>
  <c r="F77" i="150"/>
  <c r="G77" i="150"/>
  <c r="H77" i="150"/>
  <c r="I77" i="150"/>
  <c r="J77" i="150"/>
  <c r="K77" i="150"/>
  <c r="L77" i="150"/>
  <c r="M77" i="150"/>
  <c r="N77" i="150"/>
  <c r="O77" i="150"/>
  <c r="P77" i="150"/>
  <c r="Q77" i="150"/>
  <c r="R77" i="150"/>
  <c r="S77" i="150"/>
  <c r="T77" i="150"/>
  <c r="U77" i="150"/>
  <c r="V77" i="150"/>
  <c r="E70" i="150"/>
  <c r="F70" i="150"/>
  <c r="G70" i="150"/>
  <c r="H70" i="150"/>
  <c r="I70" i="150"/>
  <c r="J70" i="150"/>
  <c r="K70" i="150"/>
  <c r="L70" i="150"/>
  <c r="M70" i="150"/>
  <c r="N70" i="150"/>
  <c r="O70" i="150"/>
  <c r="P70" i="150"/>
  <c r="Q70" i="150"/>
  <c r="R70" i="150"/>
  <c r="S70" i="150"/>
  <c r="S82" i="150" s="1"/>
  <c r="T70" i="150"/>
  <c r="U70" i="150"/>
  <c r="V70" i="150"/>
  <c r="F67" i="150"/>
  <c r="H67" i="150"/>
  <c r="P67" i="150"/>
  <c r="E63" i="150"/>
  <c r="G63" i="150"/>
  <c r="I63" i="150"/>
  <c r="J63" i="150"/>
  <c r="K63" i="150"/>
  <c r="L63" i="150"/>
  <c r="M63" i="150"/>
  <c r="N63" i="150"/>
  <c r="O63" i="150"/>
  <c r="Q63" i="150"/>
  <c r="R63" i="150"/>
  <c r="S63" i="150"/>
  <c r="T63" i="150"/>
  <c r="U63" i="150"/>
  <c r="V63" i="150"/>
  <c r="E57" i="150"/>
  <c r="G57" i="150"/>
  <c r="H57" i="150"/>
  <c r="I57" i="150"/>
  <c r="J57" i="150"/>
  <c r="K57" i="150"/>
  <c r="L57" i="150"/>
  <c r="M57" i="150"/>
  <c r="N57" i="150"/>
  <c r="O57" i="150"/>
  <c r="Q57" i="150"/>
  <c r="R57" i="150"/>
  <c r="S57" i="150"/>
  <c r="T57" i="150"/>
  <c r="U57" i="150"/>
  <c r="V57" i="150"/>
  <c r="E54" i="150"/>
  <c r="F54" i="150"/>
  <c r="G54" i="150"/>
  <c r="H54" i="150"/>
  <c r="I54" i="150"/>
  <c r="J54" i="150"/>
  <c r="K54" i="150"/>
  <c r="L54" i="150"/>
  <c r="M54" i="150"/>
  <c r="N54" i="150"/>
  <c r="O54" i="150"/>
  <c r="Q54" i="150"/>
  <c r="R54" i="150"/>
  <c r="S54" i="150"/>
  <c r="T54" i="150"/>
  <c r="U54" i="150"/>
  <c r="V54" i="150"/>
  <c r="D77" i="150"/>
  <c r="C77" i="150"/>
  <c r="D67" i="150"/>
  <c r="C63" i="150"/>
  <c r="D66" i="150"/>
  <c r="D65" i="150"/>
  <c r="D64" i="150"/>
  <c r="D54" i="150"/>
  <c r="C54" i="150"/>
  <c r="C57" i="150"/>
  <c r="M82" i="150" l="1"/>
  <c r="D63" i="150"/>
  <c r="V82" i="150"/>
  <c r="U82" i="150"/>
  <c r="T82" i="150"/>
  <c r="R82" i="150"/>
  <c r="Q82" i="150"/>
  <c r="P82" i="150"/>
  <c r="O82" i="150"/>
  <c r="N82" i="150"/>
  <c r="L82" i="150"/>
  <c r="K82" i="150"/>
  <c r="J82" i="150"/>
  <c r="I82" i="150"/>
  <c r="H82" i="150"/>
  <c r="G82" i="150"/>
  <c r="F82" i="150"/>
  <c r="L16" i="20"/>
  <c r="K16" i="20"/>
  <c r="J16" i="20"/>
  <c r="F16" i="20"/>
  <c r="E16" i="20" l="1"/>
  <c r="D16" i="20"/>
  <c r="D70" i="150" l="1"/>
  <c r="D82" i="150" s="1"/>
  <c r="V87" i="150" s="1"/>
  <c r="C70" i="150"/>
  <c r="C82" i="150" s="1"/>
  <c r="P68" i="150"/>
  <c r="H68" i="150"/>
  <c r="F68" i="150"/>
  <c r="P66" i="150"/>
  <c r="H66" i="150"/>
  <c r="P65" i="150"/>
  <c r="P64" i="150"/>
  <c r="P63" i="150" s="1"/>
  <c r="H64" i="150"/>
  <c r="F64" i="150"/>
  <c r="F63" i="150" s="1"/>
  <c r="P62" i="150"/>
  <c r="F62" i="150"/>
  <c r="D62" i="150"/>
  <c r="P61" i="150"/>
  <c r="F61" i="150"/>
  <c r="D61" i="150"/>
  <c r="D57" i="150" s="1"/>
  <c r="P60" i="150"/>
  <c r="P59" i="150"/>
  <c r="F59" i="150"/>
  <c r="P58" i="150"/>
  <c r="F58" i="150"/>
  <c r="P56" i="150"/>
  <c r="F56" i="150"/>
  <c r="P55" i="150"/>
  <c r="P54" i="150" s="1"/>
  <c r="V49" i="150"/>
  <c r="U49" i="150"/>
  <c r="T49" i="150"/>
  <c r="S49" i="150"/>
  <c r="R49" i="150"/>
  <c r="Q49" i="150"/>
  <c r="P49" i="150"/>
  <c r="H49" i="150"/>
  <c r="G49" i="150"/>
  <c r="F49" i="150"/>
  <c r="E49" i="150"/>
  <c r="D49" i="150"/>
  <c r="C49" i="150"/>
  <c r="V44" i="150"/>
  <c r="U44" i="150"/>
  <c r="T44" i="150"/>
  <c r="S44" i="150"/>
  <c r="R44" i="150"/>
  <c r="Q44" i="150"/>
  <c r="P44" i="150"/>
  <c r="H44" i="150"/>
  <c r="G44" i="150"/>
  <c r="F44" i="150"/>
  <c r="E44" i="150"/>
  <c r="D44" i="150"/>
  <c r="C44" i="150"/>
  <c r="V39" i="150"/>
  <c r="U39" i="150"/>
  <c r="T39" i="150"/>
  <c r="S39" i="150"/>
  <c r="R39" i="150"/>
  <c r="Q39" i="150"/>
  <c r="Q33" i="150" s="1"/>
  <c r="P39" i="150"/>
  <c r="H39" i="150"/>
  <c r="H33" i="150" s="1"/>
  <c r="G39" i="150"/>
  <c r="F39" i="150"/>
  <c r="F33" i="150" s="1"/>
  <c r="E39" i="150"/>
  <c r="V34" i="150"/>
  <c r="V33" i="150" s="1"/>
  <c r="U34" i="150"/>
  <c r="T34" i="150"/>
  <c r="T33" i="150" s="1"/>
  <c r="S34" i="150"/>
  <c r="R34" i="150"/>
  <c r="Q34" i="150"/>
  <c r="P34" i="150"/>
  <c r="H34" i="150"/>
  <c r="G34" i="150"/>
  <c r="F34" i="150"/>
  <c r="E34" i="150"/>
  <c r="D34" i="150"/>
  <c r="D33" i="150" s="1"/>
  <c r="C34" i="150"/>
  <c r="C33" i="150" s="1"/>
  <c r="U33" i="150"/>
  <c r="R33" i="150"/>
  <c r="P33" i="150"/>
  <c r="G33" i="150"/>
  <c r="E33" i="150"/>
  <c r="V28" i="150"/>
  <c r="U28" i="150"/>
  <c r="T28" i="150"/>
  <c r="S28" i="150"/>
  <c r="R28" i="150"/>
  <c r="Q28" i="150"/>
  <c r="P28" i="150"/>
  <c r="H28" i="150"/>
  <c r="G28" i="150"/>
  <c r="F28" i="150"/>
  <c r="E28" i="150"/>
  <c r="D28" i="150"/>
  <c r="C28" i="150"/>
  <c r="V23" i="150"/>
  <c r="U23" i="150"/>
  <c r="T23" i="150"/>
  <c r="S23" i="150"/>
  <c r="R23" i="150"/>
  <c r="Q23" i="150"/>
  <c r="Q7" i="150" s="1"/>
  <c r="Q3" i="150" s="1"/>
  <c r="Q69" i="150" s="1"/>
  <c r="P23" i="150"/>
  <c r="H23" i="150"/>
  <c r="G23" i="150"/>
  <c r="F23" i="150"/>
  <c r="E23" i="150"/>
  <c r="D23" i="150"/>
  <c r="C23" i="150"/>
  <c r="V18" i="150"/>
  <c r="V7" i="150" s="1"/>
  <c r="U18" i="150"/>
  <c r="T18" i="150"/>
  <c r="S18" i="150"/>
  <c r="R18" i="150"/>
  <c r="Q18" i="150"/>
  <c r="P18" i="150"/>
  <c r="O18" i="150"/>
  <c r="N18" i="150"/>
  <c r="M18" i="150"/>
  <c r="L18" i="150"/>
  <c r="K18" i="150"/>
  <c r="J18" i="150"/>
  <c r="I18" i="150"/>
  <c r="H18" i="150"/>
  <c r="G18" i="150"/>
  <c r="F18" i="150"/>
  <c r="E18" i="150"/>
  <c r="V13" i="150"/>
  <c r="U13" i="150"/>
  <c r="T13" i="150"/>
  <c r="S13" i="150"/>
  <c r="R13" i="150"/>
  <c r="Q13" i="150"/>
  <c r="P13" i="150"/>
  <c r="O13" i="150"/>
  <c r="N13" i="150"/>
  <c r="M13" i="150"/>
  <c r="L13" i="150"/>
  <c r="K13" i="150"/>
  <c r="J13" i="150"/>
  <c r="I13" i="150"/>
  <c r="H13" i="150"/>
  <c r="G13" i="150"/>
  <c r="F13" i="150"/>
  <c r="E13" i="150"/>
  <c r="D13" i="150"/>
  <c r="D7" i="150" s="1"/>
  <c r="C13" i="150"/>
  <c r="V8" i="150"/>
  <c r="U8" i="150"/>
  <c r="T8" i="150"/>
  <c r="T7" i="150" s="1"/>
  <c r="T3" i="150" s="1"/>
  <c r="T69" i="150" s="1"/>
  <c r="T84" i="150" s="1"/>
  <c r="S8" i="150"/>
  <c r="R8" i="150"/>
  <c r="Q8" i="150"/>
  <c r="P8" i="150"/>
  <c r="P7" i="150" s="1"/>
  <c r="O8" i="150"/>
  <c r="N8" i="150"/>
  <c r="N7" i="150" s="1"/>
  <c r="M8" i="150"/>
  <c r="M7" i="150" s="1"/>
  <c r="L8" i="150"/>
  <c r="K8" i="150"/>
  <c r="J8" i="150"/>
  <c r="I8" i="150"/>
  <c r="H8" i="150"/>
  <c r="H7" i="150" s="1"/>
  <c r="G8" i="150"/>
  <c r="F8" i="150"/>
  <c r="E8" i="150"/>
  <c r="D8" i="150"/>
  <c r="C8" i="150"/>
  <c r="S7" i="150"/>
  <c r="L7" i="150"/>
  <c r="L3" i="150" s="1"/>
  <c r="L69" i="150" s="1"/>
  <c r="L84" i="150" s="1"/>
  <c r="K7" i="150"/>
  <c r="I7" i="150"/>
  <c r="V4" i="150"/>
  <c r="U4" i="150"/>
  <c r="T4" i="150"/>
  <c r="S4" i="150"/>
  <c r="R4" i="150"/>
  <c r="Q4" i="150"/>
  <c r="P4" i="150"/>
  <c r="O4" i="150"/>
  <c r="N4" i="150"/>
  <c r="N3" i="150" s="1"/>
  <c r="N69" i="150" s="1"/>
  <c r="N84" i="150" s="1"/>
  <c r="M4" i="150"/>
  <c r="L4" i="150"/>
  <c r="K4" i="150"/>
  <c r="J4" i="150"/>
  <c r="I4" i="150"/>
  <c r="H4" i="150"/>
  <c r="H3" i="150" s="1"/>
  <c r="G4" i="150"/>
  <c r="F4" i="150"/>
  <c r="E4" i="150"/>
  <c r="D4" i="150"/>
  <c r="C4" i="150"/>
  <c r="K3" i="150"/>
  <c r="K69" i="150" s="1"/>
  <c r="I3" i="150"/>
  <c r="I69" i="150" s="1"/>
  <c r="P3" i="150" l="1"/>
  <c r="E7" i="150"/>
  <c r="U7" i="150"/>
  <c r="G7" i="150"/>
  <c r="G3" i="150" s="1"/>
  <c r="G69" i="150" s="1"/>
  <c r="O7" i="150"/>
  <c r="F7" i="150"/>
  <c r="F3" i="150" s="1"/>
  <c r="F69" i="150" s="1"/>
  <c r="F84" i="150" s="1"/>
  <c r="J7" i="150"/>
  <c r="R7" i="150"/>
  <c r="S33" i="150"/>
  <c r="S3" i="150" s="1"/>
  <c r="S69" i="150" s="1"/>
  <c r="V3" i="150"/>
  <c r="V69" i="150" s="1"/>
  <c r="V84" i="150" s="1"/>
  <c r="F57" i="150"/>
  <c r="P57" i="150"/>
  <c r="P69" i="150" s="1"/>
  <c r="P84" i="150" s="1"/>
  <c r="D3" i="150"/>
  <c r="D69" i="150" s="1"/>
  <c r="D84" i="150" s="1"/>
  <c r="C7" i="150"/>
  <c r="C3" i="150" s="1"/>
  <c r="C69" i="150" s="1"/>
  <c r="H63" i="150"/>
  <c r="H69" i="150" s="1"/>
  <c r="H84" i="150" s="1"/>
  <c r="J3" i="150"/>
  <c r="J69" i="150" s="1"/>
  <c r="J84" i="150" s="1"/>
  <c r="R3" i="150"/>
  <c r="R69" i="150" s="1"/>
  <c r="R84" i="150" s="1"/>
  <c r="E3" i="150"/>
  <c r="E69" i="150" s="1"/>
  <c r="M3" i="150"/>
  <c r="M69" i="150" s="1"/>
  <c r="U3" i="150"/>
  <c r="U69" i="150" s="1"/>
  <c r="O3" i="150"/>
  <c r="O69" i="150" s="1"/>
  <c r="V86" i="150" l="1"/>
  <c r="C65" i="149"/>
  <c r="C6" i="149" s="1"/>
  <c r="C72" i="149"/>
  <c r="C71" i="149"/>
  <c r="C70" i="149"/>
  <c r="C69" i="149"/>
  <c r="C68" i="149"/>
  <c r="C67" i="149"/>
  <c r="C60" i="149"/>
  <c r="C58" i="149"/>
  <c r="C49" i="149"/>
  <c r="C3" i="149" s="1"/>
  <c r="C63" i="149" l="1"/>
  <c r="C5" i="149" s="1"/>
  <c r="C73" i="149"/>
  <c r="C4" i="149" s="1"/>
  <c r="C91" i="149"/>
  <c r="C90" i="149"/>
  <c r="C89" i="149"/>
  <c r="C87" i="149"/>
  <c r="C86" i="149"/>
  <c r="C85" i="149"/>
  <c r="C83" i="149"/>
  <c r="C82" i="149"/>
  <c r="C80" i="149"/>
  <c r="C79" i="149"/>
  <c r="C78" i="149"/>
  <c r="C56" i="149"/>
  <c r="H63" i="149" s="1"/>
  <c r="T45" i="149"/>
  <c r="T44" i="149"/>
  <c r="T43" i="149"/>
  <c r="T42" i="149"/>
  <c r="T41" i="149"/>
  <c r="T40" i="149"/>
  <c r="T39" i="149"/>
  <c r="S35" i="149"/>
  <c r="R35" i="149"/>
  <c r="Q35" i="149"/>
  <c r="Q30" i="149" s="1"/>
  <c r="Q29" i="149" s="1"/>
  <c r="P35" i="149"/>
  <c r="O35" i="149"/>
  <c r="N35" i="149"/>
  <c r="M35" i="149"/>
  <c r="M30" i="149" s="1"/>
  <c r="M29" i="149" s="1"/>
  <c r="L35" i="149"/>
  <c r="K35" i="149"/>
  <c r="J35" i="149"/>
  <c r="I35" i="149"/>
  <c r="I30" i="149" s="1"/>
  <c r="I29" i="149" s="1"/>
  <c r="H35" i="149"/>
  <c r="G35" i="149"/>
  <c r="F35" i="149"/>
  <c r="E35" i="149"/>
  <c r="E30" i="149" s="1"/>
  <c r="E29" i="149" s="1"/>
  <c r="D35" i="149"/>
  <c r="C35" i="149"/>
  <c r="S31" i="149"/>
  <c r="S30" i="149" s="1"/>
  <c r="S29" i="149" s="1"/>
  <c r="R31" i="149"/>
  <c r="R30" i="149" s="1"/>
  <c r="R29" i="149" s="1"/>
  <c r="Q31" i="149"/>
  <c r="P31" i="149"/>
  <c r="O31" i="149"/>
  <c r="N31" i="149"/>
  <c r="N30" i="149" s="1"/>
  <c r="N29" i="149" s="1"/>
  <c r="M31" i="149"/>
  <c r="L31" i="149"/>
  <c r="K31" i="149"/>
  <c r="K30" i="149" s="1"/>
  <c r="K29" i="149" s="1"/>
  <c r="J31" i="149"/>
  <c r="J30" i="149" s="1"/>
  <c r="J29" i="149" s="1"/>
  <c r="I31" i="149"/>
  <c r="H31" i="149"/>
  <c r="G31" i="149"/>
  <c r="F31" i="149"/>
  <c r="F30" i="149" s="1"/>
  <c r="F29" i="149" s="1"/>
  <c r="E31" i="149"/>
  <c r="D31" i="149"/>
  <c r="C31" i="149"/>
  <c r="C30" i="149" s="1"/>
  <c r="O30" i="149"/>
  <c r="L30" i="149"/>
  <c r="L29" i="149" s="1"/>
  <c r="G30" i="149"/>
  <c r="G29" i="149" s="1"/>
  <c r="D30" i="149"/>
  <c r="D29" i="149" s="1"/>
  <c r="O29" i="149"/>
  <c r="T28" i="149"/>
  <c r="T27" i="149"/>
  <c r="T26" i="149"/>
  <c r="T25" i="149"/>
  <c r="T24" i="149"/>
  <c r="T23" i="149"/>
  <c r="T22" i="149"/>
  <c r="V21" i="149"/>
  <c r="T21" i="149"/>
  <c r="V20" i="149"/>
  <c r="T20" i="149"/>
  <c r="V19" i="149"/>
  <c r="T19" i="149"/>
  <c r="S18" i="149"/>
  <c r="R18" i="149"/>
  <c r="Q18" i="149"/>
  <c r="P18" i="149"/>
  <c r="P13" i="149" s="1"/>
  <c r="P12" i="149" s="1"/>
  <c r="O18" i="149"/>
  <c r="N18" i="149"/>
  <c r="M18" i="149"/>
  <c r="L18" i="149"/>
  <c r="L13" i="149" s="1"/>
  <c r="L12" i="149" s="1"/>
  <c r="K18" i="149"/>
  <c r="J18" i="149"/>
  <c r="I18" i="149"/>
  <c r="H18" i="149"/>
  <c r="G18" i="149"/>
  <c r="F18" i="149"/>
  <c r="E18" i="149"/>
  <c r="D18" i="149"/>
  <c r="D13" i="149" s="1"/>
  <c r="D12" i="149" s="1"/>
  <c r="D46" i="149" s="1"/>
  <c r="C18" i="149"/>
  <c r="V17" i="149"/>
  <c r="U17" i="149"/>
  <c r="T17" i="149"/>
  <c r="V16" i="149"/>
  <c r="U16" i="149"/>
  <c r="T16" i="149"/>
  <c r="V15" i="149"/>
  <c r="U15" i="149"/>
  <c r="T15" i="149"/>
  <c r="S14" i="149"/>
  <c r="R14" i="149"/>
  <c r="R13" i="149" s="1"/>
  <c r="R12" i="149" s="1"/>
  <c r="Q14" i="149"/>
  <c r="P14" i="149"/>
  <c r="O14" i="149"/>
  <c r="N14" i="149"/>
  <c r="M14" i="149"/>
  <c r="L14" i="149"/>
  <c r="K14" i="149"/>
  <c r="J14" i="149"/>
  <c r="J13" i="149" s="1"/>
  <c r="J12" i="149" s="1"/>
  <c r="I14" i="149"/>
  <c r="H14" i="149"/>
  <c r="G14" i="149"/>
  <c r="F14" i="149"/>
  <c r="E14" i="149"/>
  <c r="D14" i="149"/>
  <c r="C14" i="149"/>
  <c r="S13" i="149"/>
  <c r="S12" i="149" s="1"/>
  <c r="K13" i="149"/>
  <c r="K12" i="149" s="1"/>
  <c r="K46" i="149" s="1"/>
  <c r="H13" i="149"/>
  <c r="H12" i="149"/>
  <c r="T9" i="149"/>
  <c r="T8" i="149"/>
  <c r="T7" i="149"/>
  <c r="T6" i="149"/>
  <c r="T5" i="149"/>
  <c r="T18" i="149" l="1"/>
  <c r="C13" i="149"/>
  <c r="C12" i="149" s="1"/>
  <c r="T14" i="149"/>
  <c r="F13" i="149"/>
  <c r="F12" i="149" s="1"/>
  <c r="F46" i="149" s="1"/>
  <c r="N13" i="149"/>
  <c r="N12" i="149" s="1"/>
  <c r="N46" i="149" s="1"/>
  <c r="T35" i="149"/>
  <c r="E13" i="149"/>
  <c r="E12" i="149" s="1"/>
  <c r="E46" i="149" s="1"/>
  <c r="I13" i="149"/>
  <c r="I12" i="149" s="1"/>
  <c r="I46" i="149" s="1"/>
  <c r="M13" i="149"/>
  <c r="M12" i="149" s="1"/>
  <c r="M46" i="149" s="1"/>
  <c r="Q13" i="149"/>
  <c r="Q12" i="149" s="1"/>
  <c r="Q46" i="149" s="1"/>
  <c r="V18" i="149"/>
  <c r="G13" i="149"/>
  <c r="G12" i="149" s="1"/>
  <c r="G46" i="149" s="1"/>
  <c r="O13" i="149"/>
  <c r="O12" i="149" s="1"/>
  <c r="O46" i="149" s="1"/>
  <c r="H30" i="149"/>
  <c r="H29" i="149" s="1"/>
  <c r="P30" i="149"/>
  <c r="P29" i="149" s="1"/>
  <c r="P46" i="149" s="1"/>
  <c r="E4" i="149"/>
  <c r="F4" i="149" s="1"/>
  <c r="G4" i="149" s="1"/>
  <c r="H4" i="149" s="1"/>
  <c r="I4" i="149" s="1"/>
  <c r="J4" i="149" s="1"/>
  <c r="K4" i="149" s="1"/>
  <c r="L4" i="149" s="1"/>
  <c r="M4" i="149" s="1"/>
  <c r="N4" i="149" s="1"/>
  <c r="O4" i="149" s="1"/>
  <c r="P4" i="149" s="1"/>
  <c r="Q4" i="149" s="1"/>
  <c r="R4" i="149" s="1"/>
  <c r="S4" i="149" s="1"/>
  <c r="T4" i="149" s="1"/>
  <c r="L46" i="149"/>
  <c r="C29" i="149"/>
  <c r="T29" i="149" s="1"/>
  <c r="T30" i="149"/>
  <c r="C10" i="149"/>
  <c r="H46" i="149"/>
  <c r="S46" i="149"/>
  <c r="J46" i="149"/>
  <c r="R46" i="149"/>
  <c r="C92" i="149"/>
  <c r="T31" i="149"/>
  <c r="T13" i="149" l="1"/>
  <c r="T12" i="149"/>
  <c r="C46" i="149"/>
  <c r="T46" i="149" s="1"/>
  <c r="D10" i="149"/>
  <c r="D11" i="149" s="1"/>
  <c r="D47" i="149" s="1"/>
  <c r="E3" i="149"/>
  <c r="C11" i="149"/>
  <c r="C47" i="149" l="1"/>
  <c r="E10" i="149"/>
  <c r="E11" i="149" s="1"/>
  <c r="E47" i="149" s="1"/>
  <c r="F3" i="149"/>
  <c r="F10" i="149" l="1"/>
  <c r="F11" i="149" s="1"/>
  <c r="F47" i="149" s="1"/>
  <c r="G3" i="149"/>
  <c r="G10" i="149" l="1"/>
  <c r="G11" i="149" s="1"/>
  <c r="H3" i="149"/>
  <c r="H10" i="149" l="1"/>
  <c r="I3" i="149"/>
  <c r="G47" i="149"/>
  <c r="I10" i="149" l="1"/>
  <c r="I11" i="149" s="1"/>
  <c r="I47" i="149" s="1"/>
  <c r="J3" i="149"/>
  <c r="H11" i="149"/>
  <c r="H47" i="149" l="1"/>
  <c r="K3" i="149"/>
  <c r="J10" i="149"/>
  <c r="J11" i="149" s="1"/>
  <c r="J47" i="149" s="1"/>
  <c r="L3" i="149" l="1"/>
  <c r="K10" i="149"/>
  <c r="K11" i="149" s="1"/>
  <c r="K47" i="149" s="1"/>
  <c r="L10" i="149" l="1"/>
  <c r="L11" i="149" s="1"/>
  <c r="L47" i="149" s="1"/>
  <c r="M3" i="149"/>
  <c r="M10" i="149" l="1"/>
  <c r="M11" i="149" s="1"/>
  <c r="M47" i="149" s="1"/>
  <c r="N3" i="149"/>
  <c r="N10" i="149" l="1"/>
  <c r="N11" i="149" s="1"/>
  <c r="N47" i="149" s="1"/>
  <c r="O3" i="149"/>
  <c r="O10" i="149" l="1"/>
  <c r="O11" i="149" s="1"/>
  <c r="O47" i="149" s="1"/>
  <c r="P3" i="149"/>
  <c r="P10" i="149" l="1"/>
  <c r="P11" i="149" s="1"/>
  <c r="P47" i="149" s="1"/>
  <c r="Q3" i="149"/>
  <c r="R3" i="149" l="1"/>
  <c r="Q10" i="149"/>
  <c r="Q11" i="149" s="1"/>
  <c r="Q47" i="149" s="1"/>
  <c r="S3" i="149" l="1"/>
  <c r="R10" i="149"/>
  <c r="R11" i="149" s="1"/>
  <c r="R47" i="149" s="1"/>
  <c r="S10" i="149" l="1"/>
  <c r="T3" i="149"/>
  <c r="S11" i="149" l="1"/>
  <c r="T10" i="149"/>
  <c r="S47" i="149" l="1"/>
  <c r="T47" i="149" s="1"/>
  <c r="T11" i="149"/>
  <c r="C264" i="34" l="1"/>
  <c r="E265" i="34"/>
  <c r="I25" i="32" s="1"/>
  <c r="E263" i="34"/>
  <c r="C257" i="34"/>
  <c r="C256" i="34"/>
  <c r="C279" i="34"/>
  <c r="C269" i="34"/>
  <c r="C272" i="34"/>
  <c r="C270" i="34"/>
  <c r="C249" i="34"/>
  <c r="C248" i="34"/>
  <c r="C241" i="34"/>
  <c r="C238" i="34"/>
  <c r="C239" i="34"/>
  <c r="C218" i="34"/>
  <c r="E218" i="34"/>
  <c r="E203" i="34"/>
  <c r="D25" i="32" s="1"/>
  <c r="C199" i="34"/>
  <c r="E201" i="34" s="1"/>
  <c r="C190" i="34"/>
  <c r="C191" i="34"/>
  <c r="C188" i="34"/>
  <c r="C187" i="34"/>
  <c r="C165" i="34"/>
  <c r="C142" i="34"/>
  <c r="C174" i="34"/>
  <c r="C176" i="34"/>
  <c r="E130" i="34"/>
  <c r="E25" i="32" s="1"/>
  <c r="C128" i="34"/>
  <c r="C125" i="34"/>
  <c r="C127" i="34"/>
  <c r="C126" i="34"/>
  <c r="C119" i="34"/>
  <c r="C117" i="34"/>
  <c r="C118" i="34"/>
  <c r="C120" i="34"/>
  <c r="C116" i="34"/>
  <c r="C103" i="34"/>
  <c r="C102" i="34"/>
  <c r="C101" i="34"/>
  <c r="C100" i="34"/>
  <c r="C99" i="34"/>
  <c r="C98" i="34"/>
  <c r="C97" i="34"/>
  <c r="C96" i="34"/>
  <c r="C94" i="34"/>
  <c r="C93" i="34"/>
  <c r="C92" i="34"/>
  <c r="C91" i="34"/>
  <c r="C90" i="34"/>
  <c r="C89" i="34"/>
  <c r="C88" i="34"/>
  <c r="C87" i="34"/>
  <c r="C86" i="34"/>
  <c r="C85" i="34"/>
  <c r="C51" i="34"/>
  <c r="C83" i="34"/>
  <c r="C76" i="34"/>
  <c r="C80" i="34"/>
  <c r="C79" i="34"/>
  <c r="C78" i="34"/>
  <c r="C77" i="34"/>
  <c r="C74" i="34"/>
  <c r="C75" i="34"/>
  <c r="C72" i="34"/>
  <c r="C71" i="34"/>
  <c r="C70" i="34"/>
  <c r="C68" i="34"/>
  <c r="C67" i="34"/>
  <c r="C66" i="34"/>
  <c r="C64" i="34"/>
  <c r="C63" i="34"/>
  <c r="C62" i="34"/>
  <c r="C61" i="34"/>
  <c r="C60" i="34"/>
  <c r="C59" i="34"/>
  <c r="C58" i="34"/>
  <c r="C57" i="34"/>
  <c r="C46" i="34"/>
  <c r="C45" i="34"/>
  <c r="C54" i="34"/>
  <c r="C53" i="34"/>
  <c r="C52" i="34"/>
  <c r="C50" i="34"/>
  <c r="C49" i="34"/>
  <c r="C42" i="34"/>
  <c r="C47" i="34"/>
  <c r="C48" i="34"/>
  <c r="C84" i="34"/>
  <c r="C40" i="34"/>
  <c r="C41" i="34"/>
  <c r="C16" i="34"/>
  <c r="C20" i="34"/>
  <c r="C19" i="34"/>
  <c r="C18" i="34"/>
  <c r="C17" i="34"/>
  <c r="C7" i="34"/>
  <c r="C14" i="34"/>
  <c r="C13" i="34"/>
  <c r="C11" i="34"/>
  <c r="C8" i="34"/>
  <c r="C12" i="34"/>
  <c r="C10" i="34"/>
  <c r="C9" i="34"/>
  <c r="C5" i="34"/>
  <c r="C6" i="34"/>
  <c r="E250" i="34" l="1"/>
  <c r="C204" i="34"/>
  <c r="C131" i="34"/>
  <c r="E128" i="34"/>
  <c r="E103" i="34"/>
  <c r="E26" i="33" s="1"/>
  <c r="E84" i="34"/>
  <c r="E25" i="33" s="1"/>
  <c r="E20" i="34"/>
  <c r="E15" i="34"/>
  <c r="E17" i="33" l="1"/>
  <c r="D12" i="127"/>
  <c r="F12" i="125"/>
  <c r="J12" i="125" s="1"/>
  <c r="C44" i="99"/>
  <c r="D44" i="99"/>
  <c r="B44" i="99"/>
  <c r="E32" i="34" l="1"/>
  <c r="H112" i="34" l="1"/>
  <c r="H10" i="104"/>
  <c r="G10" i="104"/>
  <c r="F10" i="104"/>
  <c r="E10" i="104"/>
  <c r="H9" i="104"/>
  <c r="G9" i="104"/>
  <c r="F9" i="104"/>
  <c r="E9" i="104"/>
  <c r="H8" i="104"/>
  <c r="G8" i="104"/>
  <c r="F8" i="104"/>
  <c r="E8" i="104"/>
  <c r="E11" i="104"/>
  <c r="F11" i="104"/>
  <c r="G11" i="104"/>
  <c r="H11" i="104"/>
  <c r="I11" i="104"/>
  <c r="D11" i="104"/>
  <c r="J14" i="104"/>
  <c r="J16" i="104"/>
  <c r="J15" i="104" s="1"/>
  <c r="J17" i="104"/>
  <c r="D17" i="20" l="1"/>
  <c r="L27" i="129"/>
  <c r="K27" i="129"/>
  <c r="I27" i="129"/>
  <c r="H27" i="129"/>
  <c r="G27" i="129"/>
  <c r="F27" i="129"/>
  <c r="E27" i="129"/>
  <c r="J27" i="129"/>
  <c r="L21" i="129"/>
  <c r="K21" i="129"/>
  <c r="J21" i="129"/>
  <c r="H21" i="129"/>
  <c r="G21" i="129"/>
  <c r="F21" i="129"/>
  <c r="E21" i="129"/>
  <c r="I20" i="129"/>
  <c r="I19" i="129"/>
  <c r="I17" i="129"/>
  <c r="I16" i="129"/>
  <c r="L8" i="129"/>
  <c r="K8" i="129"/>
  <c r="J8" i="129"/>
  <c r="I8" i="129"/>
  <c r="H8" i="129"/>
  <c r="G8" i="129"/>
  <c r="F8" i="129"/>
  <c r="E8" i="129"/>
  <c r="M16" i="127"/>
  <c r="M15" i="127"/>
  <c r="M14" i="127"/>
  <c r="D13" i="127"/>
  <c r="L13" i="127"/>
  <c r="K13" i="127"/>
  <c r="J13" i="127"/>
  <c r="I13" i="127"/>
  <c r="H13" i="127"/>
  <c r="G13" i="127"/>
  <c r="F13" i="127"/>
  <c r="E13" i="127"/>
  <c r="C13" i="127"/>
  <c r="M12" i="127"/>
  <c r="M10" i="127"/>
  <c r="M9" i="127"/>
  <c r="O9" i="127" s="1"/>
  <c r="P9" i="127" s="1"/>
  <c r="M8" i="127"/>
  <c r="L6" i="127"/>
  <c r="L19" i="127" s="1"/>
  <c r="K6" i="127"/>
  <c r="K19" i="127" s="1"/>
  <c r="J6" i="127"/>
  <c r="J19" i="127" s="1"/>
  <c r="I6" i="127"/>
  <c r="I19" i="127" s="1"/>
  <c r="H6" i="127"/>
  <c r="H19" i="127" s="1"/>
  <c r="G6" i="127"/>
  <c r="G19" i="127" s="1"/>
  <c r="F6" i="127"/>
  <c r="F19" i="127" s="1"/>
  <c r="E6" i="127"/>
  <c r="E19" i="127" s="1"/>
  <c r="D6" i="127"/>
  <c r="D19" i="127" s="1"/>
  <c r="C6" i="127"/>
  <c r="C19" i="127" s="1"/>
  <c r="G13" i="125"/>
  <c r="E13" i="125"/>
  <c r="D13" i="125"/>
  <c r="C13" i="125"/>
  <c r="F13" i="125"/>
  <c r="M11" i="125"/>
  <c r="I10" i="125"/>
  <c r="J10" i="125" s="1"/>
  <c r="E21" i="127" l="1"/>
  <c r="I21" i="127"/>
  <c r="M13" i="127"/>
  <c r="I21" i="129"/>
  <c r="H21" i="127"/>
  <c r="L21" i="127"/>
  <c r="M6" i="127"/>
  <c r="J13" i="125"/>
  <c r="G21" i="127"/>
  <c r="K21" i="127"/>
  <c r="D21" i="127"/>
  <c r="F21" i="127"/>
  <c r="J21" i="127"/>
  <c r="C21" i="127"/>
  <c r="I13" i="125"/>
  <c r="F59" i="49" l="1"/>
  <c r="F24" i="49"/>
  <c r="E23" i="33"/>
  <c r="C104" i="34" l="1"/>
  <c r="E16" i="33"/>
  <c r="K25" i="32"/>
  <c r="K24" i="32"/>
  <c r="H24" i="32"/>
  <c r="C233" i="34"/>
  <c r="E233" i="34" l="1"/>
  <c r="L24" i="32"/>
  <c r="D24" i="32"/>
  <c r="C281" i="34"/>
  <c r="E281" i="34" s="1"/>
  <c r="J24" i="32" s="1"/>
  <c r="E24" i="32" l="1"/>
  <c r="C20" i="104" l="1"/>
  <c r="O19" i="104"/>
  <c r="J13" i="104"/>
  <c r="J12" i="104"/>
  <c r="L12" i="104" l="1"/>
  <c r="J11" i="104"/>
  <c r="E7" i="104"/>
  <c r="E20" i="104" s="1"/>
  <c r="I7" i="104"/>
  <c r="I20" i="104" s="1"/>
  <c r="H7" i="104"/>
  <c r="H20" i="104" s="1"/>
  <c r="F7" i="104"/>
  <c r="F20" i="104" s="1"/>
  <c r="G7" i="104"/>
  <c r="G20" i="104" s="1"/>
  <c r="L15" i="104"/>
  <c r="J8" i="104"/>
  <c r="L8" i="104" s="1"/>
  <c r="B7" i="99"/>
  <c r="E17" i="20" l="1"/>
  <c r="B51" i="99"/>
  <c r="E46" i="99"/>
  <c r="E43" i="99"/>
  <c r="E42" i="99"/>
  <c r="E41" i="99"/>
  <c r="E40" i="99"/>
  <c r="E39" i="99"/>
  <c r="E38" i="99"/>
  <c r="E37" i="99"/>
  <c r="E36" i="99"/>
  <c r="E35" i="99"/>
  <c r="E34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D21" i="99"/>
  <c r="C21" i="99"/>
  <c r="J9" i="104" s="1"/>
  <c r="L9" i="104" s="1"/>
  <c r="E20" i="99"/>
  <c r="E19" i="99"/>
  <c r="E18" i="99"/>
  <c r="E17" i="99"/>
  <c r="E16" i="99"/>
  <c r="E44" i="99" l="1"/>
  <c r="J10" i="104"/>
  <c r="L10" i="104" s="1"/>
  <c r="D7" i="104"/>
  <c r="E21" i="99"/>
  <c r="D45" i="99"/>
  <c r="C45" i="99"/>
  <c r="B45" i="99"/>
  <c r="J7" i="104" l="1"/>
  <c r="J20" i="104" s="1"/>
  <c r="E45" i="99"/>
  <c r="B54" i="99"/>
  <c r="E38" i="33" l="1"/>
  <c r="D79" i="49"/>
  <c r="E26" i="32"/>
  <c r="F26" i="32"/>
  <c r="G26" i="32"/>
  <c r="H26" i="32"/>
  <c r="I26" i="32"/>
  <c r="J26" i="32"/>
  <c r="K26" i="32"/>
  <c r="L26" i="32"/>
  <c r="D26" i="32"/>
  <c r="E23" i="32"/>
  <c r="H23" i="32"/>
  <c r="J23" i="32"/>
  <c r="L23" i="32"/>
  <c r="D23" i="32"/>
  <c r="E20" i="32"/>
  <c r="F20" i="32"/>
  <c r="G20" i="32"/>
  <c r="H20" i="32"/>
  <c r="I20" i="32"/>
  <c r="K20" i="32"/>
  <c r="L20" i="32"/>
  <c r="D20" i="32"/>
  <c r="E17" i="32"/>
  <c r="F17" i="32"/>
  <c r="G17" i="32"/>
  <c r="H17" i="32"/>
  <c r="I17" i="32"/>
  <c r="J17" i="32"/>
  <c r="K17" i="32"/>
  <c r="L17" i="32"/>
  <c r="D17" i="32"/>
  <c r="M16" i="32"/>
  <c r="D17" i="33" s="1"/>
  <c r="M18" i="32"/>
  <c r="D19" i="33" s="1"/>
  <c r="M19" i="32"/>
  <c r="D20" i="33" s="1"/>
  <c r="F20" i="33" s="1"/>
  <c r="M21" i="32"/>
  <c r="D22" i="33" s="1"/>
  <c r="F22" i="33" s="1"/>
  <c r="M25" i="32"/>
  <c r="D26" i="33" s="1"/>
  <c r="M27" i="32"/>
  <c r="D28" i="33" s="1"/>
  <c r="M28" i="32"/>
  <c r="D29" i="33" s="1"/>
  <c r="E21" i="33"/>
  <c r="E24" i="34"/>
  <c r="E31" i="32"/>
  <c r="F31" i="32"/>
  <c r="G31" i="32"/>
  <c r="H31" i="32"/>
  <c r="I31" i="32"/>
  <c r="K31" i="32"/>
  <c r="L31" i="32"/>
  <c r="D31" i="32"/>
  <c r="E107" i="34"/>
  <c r="E28" i="33" s="1"/>
  <c r="C111" i="34"/>
  <c r="C24" i="34"/>
  <c r="C286" i="34" s="1"/>
  <c r="C166" i="34"/>
  <c r="C251" i="34"/>
  <c r="K23" i="32" s="1"/>
  <c r="C182" i="34"/>
  <c r="E182" i="34" s="1"/>
  <c r="G24" i="32" s="1"/>
  <c r="C177" i="34"/>
  <c r="C273" i="34"/>
  <c r="G112" i="34" l="1"/>
  <c r="C289" i="34"/>
  <c r="I24" i="32"/>
  <c r="I23" i="32" s="1"/>
  <c r="E166" i="34"/>
  <c r="C288" i="34"/>
  <c r="E110" i="34"/>
  <c r="E19" i="33"/>
  <c r="E31" i="33" s="1"/>
  <c r="E37" i="33"/>
  <c r="M17" i="32"/>
  <c r="D18" i="33" s="1"/>
  <c r="F26" i="33"/>
  <c r="F17" i="33"/>
  <c r="F28" i="33"/>
  <c r="G23" i="32"/>
  <c r="M26" i="32"/>
  <c r="D27" i="33" s="1"/>
  <c r="E24" i="33"/>
  <c r="F24" i="32" l="1"/>
  <c r="M24" i="32" s="1"/>
  <c r="D25" i="33" s="1"/>
  <c r="F25" i="33" s="1"/>
  <c r="E18" i="33"/>
  <c r="F18" i="33" s="1"/>
  <c r="F19" i="33"/>
  <c r="E29" i="33"/>
  <c r="E32" i="33" s="1"/>
  <c r="E15" i="33"/>
  <c r="E30" i="33" l="1"/>
  <c r="F23" i="32"/>
  <c r="M23" i="32" s="1"/>
  <c r="D24" i="33" s="1"/>
  <c r="F24" i="33" s="1"/>
  <c r="F29" i="33"/>
  <c r="E27" i="33"/>
  <c r="F27" i="33" s="1"/>
  <c r="C150" i="34" l="1"/>
  <c r="E150" i="34" l="1"/>
  <c r="C167" i="34"/>
  <c r="C38" i="34"/>
  <c r="F15" i="32" l="1"/>
  <c r="F30" i="32" s="1"/>
  <c r="F29" i="32" s="1"/>
  <c r="C258" i="34"/>
  <c r="C242" i="34"/>
  <c r="C192" i="34"/>
  <c r="C205" i="34" s="1"/>
  <c r="F14" i="32" l="1"/>
  <c r="E258" i="34"/>
  <c r="C265" i="34"/>
  <c r="E242" i="34"/>
  <c r="K15" i="32" s="1"/>
  <c r="C252" i="34"/>
  <c r="E192" i="34"/>
  <c r="I10" i="32"/>
  <c r="D15" i="32" l="1"/>
  <c r="D14" i="32" s="1"/>
  <c r="I15" i="32"/>
  <c r="I14" i="32" s="1"/>
  <c r="K14" i="32"/>
  <c r="G248" i="34"/>
  <c r="K30" i="32"/>
  <c r="K29" i="32" s="1"/>
  <c r="D85" i="49"/>
  <c r="I30" i="32" l="1"/>
  <c r="I29" i="32" s="1"/>
  <c r="D30" i="32"/>
  <c r="D29" i="32" s="1"/>
  <c r="K18" i="20" l="1"/>
  <c r="L18" i="20"/>
  <c r="J18" i="20"/>
  <c r="F18" i="20"/>
  <c r="E18" i="20"/>
  <c r="D18" i="20"/>
  <c r="D35" i="33" l="1"/>
  <c r="D37" i="33"/>
  <c r="D38" i="33"/>
  <c r="K10" i="32"/>
  <c r="M9" i="32"/>
  <c r="D10" i="33" s="1"/>
  <c r="I7" i="32"/>
  <c r="I11" i="32" s="1"/>
  <c r="J7" i="32"/>
  <c r="K7" i="32"/>
  <c r="K11" i="32" l="1"/>
  <c r="K13" i="32" s="1"/>
  <c r="I13" i="32"/>
  <c r="D60" i="49" l="1"/>
  <c r="D81" i="49" s="1"/>
  <c r="E87" i="49" l="1"/>
  <c r="K32" i="32"/>
  <c r="K34" i="32" s="1"/>
  <c r="I32" i="32"/>
  <c r="I34" i="32" s="1"/>
  <c r="C277" i="34" l="1"/>
  <c r="N228" i="34"/>
  <c r="C227" i="34"/>
  <c r="N213" i="34"/>
  <c r="C212" i="34"/>
  <c r="C219" i="34" s="1"/>
  <c r="C121" i="34"/>
  <c r="C132" i="34" s="1"/>
  <c r="C21" i="34"/>
  <c r="C112" i="34" s="1"/>
  <c r="F38" i="33"/>
  <c r="E11" i="33"/>
  <c r="F10" i="33"/>
  <c r="E8" i="33"/>
  <c r="M12" i="32"/>
  <c r="D13" i="33" s="1"/>
  <c r="F13" i="33" s="1"/>
  <c r="L10" i="32"/>
  <c r="J10" i="32"/>
  <c r="H10" i="32"/>
  <c r="G10" i="32"/>
  <c r="F10" i="32"/>
  <c r="E10" i="32"/>
  <c r="D10" i="32"/>
  <c r="M8" i="32"/>
  <c r="D9" i="33" s="1"/>
  <c r="F9" i="33" s="1"/>
  <c r="L7" i="32"/>
  <c r="H7" i="32"/>
  <c r="G7" i="32"/>
  <c r="F7" i="32"/>
  <c r="E7" i="32"/>
  <c r="D7" i="32"/>
  <c r="M6" i="32"/>
  <c r="D7" i="33" s="1"/>
  <c r="F7" i="33" s="1"/>
  <c r="M5" i="32"/>
  <c r="D6" i="33" s="1"/>
  <c r="C285" i="34" l="1"/>
  <c r="C234" i="34"/>
  <c r="L15" i="32"/>
  <c r="C282" i="34"/>
  <c r="C296" i="34"/>
  <c r="C287" i="34"/>
  <c r="E227" i="34"/>
  <c r="E212" i="34"/>
  <c r="E177" i="34"/>
  <c r="C183" i="34"/>
  <c r="E277" i="34"/>
  <c r="C293" i="34" s="1"/>
  <c r="E273" i="34"/>
  <c r="J15" i="32" s="1"/>
  <c r="E121" i="34"/>
  <c r="D11" i="32"/>
  <c r="D32" i="32" s="1"/>
  <c r="D34" i="32" s="1"/>
  <c r="H11" i="32"/>
  <c r="E12" i="33"/>
  <c r="M7" i="32"/>
  <c r="D8" i="33" s="1"/>
  <c r="F8" i="33" s="1"/>
  <c r="M10" i="32"/>
  <c r="D11" i="33" s="1"/>
  <c r="F11" i="33" s="1"/>
  <c r="F11" i="32"/>
  <c r="F13" i="32" s="1"/>
  <c r="L11" i="32"/>
  <c r="E11" i="32"/>
  <c r="J11" i="32"/>
  <c r="F6" i="33"/>
  <c r="F37" i="33"/>
  <c r="G11" i="32"/>
  <c r="E15" i="32" l="1"/>
  <c r="C292" i="34"/>
  <c r="L30" i="32"/>
  <c r="L29" i="32" s="1"/>
  <c r="L32" i="32" s="1"/>
  <c r="L34" i="32" s="1"/>
  <c r="J22" i="32"/>
  <c r="G15" i="32"/>
  <c r="G14" i="32" s="1"/>
  <c r="C290" i="34"/>
  <c r="H15" i="32"/>
  <c r="H30" i="32" s="1"/>
  <c r="H29" i="32" s="1"/>
  <c r="H32" i="32" s="1"/>
  <c r="H34" i="32" s="1"/>
  <c r="G281" i="34"/>
  <c r="L14" i="32"/>
  <c r="J30" i="32"/>
  <c r="J14" i="32"/>
  <c r="E14" i="33"/>
  <c r="E33" i="33"/>
  <c r="D13" i="32"/>
  <c r="L13" i="32"/>
  <c r="H13" i="32"/>
  <c r="J13" i="32"/>
  <c r="E13" i="32"/>
  <c r="F32" i="32"/>
  <c r="F34" i="32" s="1"/>
  <c r="M11" i="32"/>
  <c r="D12" i="33" s="1"/>
  <c r="G13" i="32"/>
  <c r="G30" i="32" l="1"/>
  <c r="G29" i="32" s="1"/>
  <c r="G32" i="32" s="1"/>
  <c r="G34" i="32" s="1"/>
  <c r="H14" i="32"/>
  <c r="C294" i="34"/>
  <c r="E301" i="34" s="1"/>
  <c r="E14" i="32"/>
  <c r="E30" i="32"/>
  <c r="M15" i="32"/>
  <c r="D16" i="33" s="1"/>
  <c r="F16" i="33" s="1"/>
  <c r="J20" i="32"/>
  <c r="M20" i="32" s="1"/>
  <c r="D21" i="33" s="1"/>
  <c r="F21" i="33" s="1"/>
  <c r="M22" i="32"/>
  <c r="D23" i="33" s="1"/>
  <c r="F23" i="33" s="1"/>
  <c r="J31" i="32"/>
  <c r="M31" i="32" s="1"/>
  <c r="D32" i="33" s="1"/>
  <c r="F32" i="33" s="1"/>
  <c r="F41" i="33" s="1"/>
  <c r="M13" i="32"/>
  <c r="D14" i="33" s="1"/>
  <c r="F12" i="33"/>
  <c r="M14" i="32" l="1"/>
  <c r="D15" i="33" s="1"/>
  <c r="F15" i="33" s="1"/>
  <c r="J29" i="32"/>
  <c r="J32" i="32" s="1"/>
  <c r="J34" i="32" s="1"/>
  <c r="E29" i="32"/>
  <c r="M30" i="32"/>
  <c r="F14" i="33"/>
  <c r="H31" i="33" l="1"/>
  <c r="D31" i="33"/>
  <c r="F31" i="33" s="1"/>
  <c r="E32" i="32"/>
  <c r="M29" i="32"/>
  <c r="D30" i="33" s="1"/>
  <c r="F30" i="33" s="1"/>
  <c r="F40" i="33" l="1"/>
  <c r="F42" i="33" s="1"/>
  <c r="E34" i="32"/>
  <c r="M34" i="32" s="1"/>
  <c r="D34" i="33" s="1"/>
  <c r="E35" i="33" s="1"/>
  <c r="E36" i="33" s="1"/>
  <c r="M32" i="32"/>
  <c r="D33" i="33" s="1"/>
  <c r="F34" i="33" l="1"/>
  <c r="D36" i="33"/>
  <c r="F36" i="33" s="1"/>
  <c r="E86" i="49" s="1"/>
  <c r="E88" i="49" s="1"/>
  <c r="F33" i="33"/>
  <c r="F35" i="33"/>
  <c r="F38" i="20" l="1"/>
  <c r="E38" i="20"/>
  <c r="D38" i="20"/>
  <c r="K17" i="20"/>
  <c r="E34" i="20" s="1"/>
  <c r="L17" i="20"/>
  <c r="F34" i="20" s="1"/>
  <c r="E30" i="20"/>
  <c r="F30" i="20"/>
  <c r="J17" i="20"/>
  <c r="D34" i="20" s="1"/>
  <c r="D30" i="20"/>
  <c r="K15" i="20"/>
  <c r="K26" i="20" s="1"/>
  <c r="L15" i="20"/>
  <c r="L26" i="20" s="1"/>
  <c r="J15" i="20"/>
  <c r="J26" i="20" s="1"/>
  <c r="E33" i="20"/>
  <c r="F17" i="20"/>
  <c r="F33" i="20" s="1"/>
  <c r="D33" i="20"/>
  <c r="E29" i="20"/>
  <c r="F29" i="20"/>
  <c r="D29" i="20"/>
  <c r="E15" i="20"/>
  <c r="E26" i="20" s="1"/>
  <c r="F15" i="20"/>
  <c r="F26" i="20" s="1"/>
  <c r="D15" i="20"/>
  <c r="D26" i="20" s="1"/>
  <c r="N40" i="20" l="1"/>
  <c r="F31" i="20"/>
  <c r="E35" i="20"/>
  <c r="D35" i="20"/>
  <c r="F35" i="20"/>
  <c r="E31" i="20"/>
  <c r="D31" i="20"/>
  <c r="F37" i="20" l="1"/>
  <c r="F39" i="20" s="1"/>
  <c r="E37" i="20"/>
  <c r="E39" i="20" s="1"/>
  <c r="D37" i="20"/>
  <c r="D39" i="20" s="1"/>
</calcChain>
</file>

<file path=xl/sharedStrings.xml><?xml version="1.0" encoding="utf-8"?>
<sst xmlns="http://schemas.openxmlformats.org/spreadsheetml/2006/main" count="2026" uniqueCount="1233">
  <si>
    <t>INTÉZMÉNYEK MARADVÁNYKIMUTATÁSA</t>
  </si>
  <si>
    <t>Sor-szám</t>
  </si>
  <si>
    <t>Megnevezés</t>
  </si>
  <si>
    <t>1.</t>
  </si>
  <si>
    <t>2.</t>
  </si>
  <si>
    <t>3.</t>
  </si>
  <si>
    <t>4.</t>
  </si>
  <si>
    <t>5.</t>
  </si>
  <si>
    <t>6.</t>
  </si>
  <si>
    <t>7.</t>
  </si>
  <si>
    <t>Mindösszesen</t>
  </si>
  <si>
    <t>Dunaharaszti Polgármesteri Hivatal</t>
  </si>
  <si>
    <t>Dunaharaszti Városi Bölcsőde</t>
  </si>
  <si>
    <t>Dunaharaszti Területi Gondozási Központ</t>
  </si>
  <si>
    <t>Dunaharaszti Mese Óvoda</t>
  </si>
  <si>
    <t>Dunaharaszti Hétszínvirág Óvoda</t>
  </si>
  <si>
    <t>Alaptevékenység költségvetési bevételei</t>
  </si>
  <si>
    <t>Alaptevékenység költségvetési kiadásai</t>
  </si>
  <si>
    <r>
      <t xml:space="preserve">Alaptevékenység költségvetési egyenlege </t>
    </r>
    <r>
      <rPr>
        <i/>
        <sz val="18"/>
        <color indexed="8"/>
        <rFont val="Garamond"/>
        <family val="1"/>
        <charset val="238"/>
      </rPr>
      <t>(Alaptevékenység költségvetési bevételei - Alaptevékenység költségvetési kiadásai)</t>
    </r>
  </si>
  <si>
    <t>Alaptevékenység finanszírozási bevétele</t>
  </si>
  <si>
    <t>Alaptevékenység finanszírozási kiadása</t>
  </si>
  <si>
    <r>
      <t xml:space="preserve">Alaptevékenység finanszírozási egyenlege </t>
    </r>
    <r>
      <rPr>
        <i/>
        <sz val="18"/>
        <color indexed="8"/>
        <rFont val="Garamond"/>
        <family val="1"/>
        <charset val="238"/>
      </rPr>
      <t>(Alaptevékenység finanszírozási bevétele - Alaptevékenység finanszírozási kiadása)</t>
    </r>
  </si>
  <si>
    <r>
      <t>Alaptevékenység maradványa</t>
    </r>
    <r>
      <rPr>
        <b/>
        <i/>
        <sz val="18"/>
        <color indexed="8"/>
        <rFont val="Garamond"/>
        <family val="1"/>
        <charset val="238"/>
      </rPr>
      <t xml:space="preserve"> </t>
    </r>
    <r>
      <rPr>
        <i/>
        <sz val="18"/>
        <color indexed="8"/>
        <rFont val="Garamond"/>
        <family val="1"/>
        <charset val="238"/>
      </rPr>
      <t>(+/- Alaptevékenység költségvetési egyenlege +/- Alaptevékenység finanszírozási egyenlege)</t>
    </r>
  </si>
  <si>
    <t>8.</t>
  </si>
  <si>
    <r>
      <t>Vállalkozási tevékenység maradványa</t>
    </r>
    <r>
      <rPr>
        <b/>
        <i/>
        <sz val="18"/>
        <color indexed="8"/>
        <rFont val="Garamond"/>
        <family val="1"/>
        <charset val="238"/>
      </rPr>
      <t xml:space="preserve"> </t>
    </r>
  </si>
  <si>
    <t>9.</t>
  </si>
  <si>
    <r>
      <t>Összes maradvány</t>
    </r>
    <r>
      <rPr>
        <b/>
        <i/>
        <sz val="15"/>
        <color indexed="8"/>
        <rFont val="Garamond"/>
        <family val="1"/>
        <charset val="238"/>
      </rPr>
      <t xml:space="preserve"> (Alaptevékenység maradványa + Vállalkozói tevékenység maradványa)</t>
    </r>
  </si>
  <si>
    <t>10.</t>
  </si>
  <si>
    <t>ebből: működés</t>
  </si>
  <si>
    <t>ebből: felhalmozás</t>
  </si>
  <si>
    <t>11.</t>
  </si>
  <si>
    <r>
      <t>Alaptevékenység szabad maradványa</t>
    </r>
    <r>
      <rPr>
        <i/>
        <sz val="15"/>
        <color indexed="8"/>
        <rFont val="Garamond"/>
        <family val="1"/>
        <charset val="238"/>
      </rPr>
      <t xml:space="preserve"> (Alaptevékenység maradványa - Alaptevékenység kötelezettvállalással terhelt maradvány)</t>
    </r>
  </si>
  <si>
    <t>12.</t>
  </si>
  <si>
    <t>13.</t>
  </si>
  <si>
    <t>14.</t>
  </si>
  <si>
    <t>15.</t>
  </si>
  <si>
    <t>Elvonás szabad maradvány terhére</t>
  </si>
  <si>
    <t>16.</t>
  </si>
  <si>
    <t>Dunaharaszti Család- és Gyermekjóléti Szolgálat</t>
  </si>
  <si>
    <t>ÖNKORMÁNYZAT MARADVÁNYKIMUTATÁSA</t>
  </si>
  <si>
    <t>Intézmények összesen</t>
  </si>
  <si>
    <t>Önkormányzat</t>
  </si>
  <si>
    <t>Városi szintű önkormányzat összesen</t>
  </si>
  <si>
    <r>
      <t>Összes maradvány</t>
    </r>
    <r>
      <rPr>
        <b/>
        <i/>
        <sz val="18"/>
        <color indexed="8"/>
        <rFont val="Garamond"/>
        <family val="1"/>
        <charset val="238"/>
      </rPr>
      <t xml:space="preserve"> (Alaptevékenység maradványa + Vállalkozói tevékenység maradványa+korrekciók)</t>
    </r>
  </si>
  <si>
    <r>
      <t>Alaptevékenység szabad maradványa</t>
    </r>
    <r>
      <rPr>
        <i/>
        <sz val="18"/>
        <color indexed="8"/>
        <rFont val="Garamond"/>
        <family val="1"/>
        <charset val="238"/>
      </rPr>
      <t xml:space="preserve"> (Alaptevékenység maradványa - Alaptevékenység kötelezettvállalással terhelt maradvány)</t>
    </r>
  </si>
  <si>
    <t>KGR-rel egyező</t>
  </si>
  <si>
    <t>KGR riport</t>
  </si>
  <si>
    <t>17.</t>
  </si>
  <si>
    <t>Intézményi költségvetési befizetés</t>
  </si>
  <si>
    <t>18.</t>
  </si>
  <si>
    <t>Dunaharaszti Város Önkormányzata - kötött maradvány</t>
  </si>
  <si>
    <t>Dunaharaszti Város Önkormányzata</t>
  </si>
  <si>
    <t>1. Mérlegben szereplő kötött maradvány</t>
  </si>
  <si>
    <t>Szerződés tárgya</t>
  </si>
  <si>
    <t>Összeg</t>
  </si>
  <si>
    <t>Működés</t>
  </si>
  <si>
    <t>Felhalmozás</t>
  </si>
  <si>
    <t>MÉRLEGBEN SZEREPLŐ KÖTÖTT MARADVÁNY</t>
  </si>
  <si>
    <t>3. Elkülönített számlák</t>
  </si>
  <si>
    <t>ELKÜLÖNÍTETT SZÁMLA</t>
  </si>
  <si>
    <t>Könyvtár 1 % számla</t>
  </si>
  <si>
    <t>Dunaharaszti Város Önkormányzata szabad maradvány felhasználása</t>
  </si>
  <si>
    <t>Sorszám</t>
  </si>
  <si>
    <t>Felhalmozási</t>
  </si>
  <si>
    <t>Működési</t>
  </si>
  <si>
    <t>Szabad maradvány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</si>
  <si>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</si>
  <si>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</si>
  <si>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</si>
  <si>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</si>
  <si>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</si>
  <si>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</si>
  <si>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</si>
  <si>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</si>
  <si>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</si>
  <si>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</si>
  <si>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%</t>
  </si>
  <si>
    <t>összege (Ft)</t>
  </si>
  <si>
    <t>-</t>
  </si>
  <si>
    <t>1/1</t>
  </si>
  <si>
    <t>Összesen</t>
  </si>
  <si>
    <t>12/A - Mérleg</t>
  </si>
  <si>
    <t>Előző időszak</t>
  </si>
  <si>
    <t>Módosítások (+/-)</t>
  </si>
  <si>
    <t>Tárgyi időszak</t>
  </si>
  <si>
    <t>01</t>
  </si>
  <si>
    <t>A/I/1 Vagyoni értékű jogok</t>
  </si>
  <si>
    <t>02</t>
  </si>
  <si>
    <t>A/I/2 Szellemi termékek</t>
  </si>
  <si>
    <t>03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</si>
  <si>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</si>
  <si>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</si>
  <si>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</si>
  <si>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</si>
  <si>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</si>
  <si>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</si>
  <si>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</si>
  <si>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</si>
  <si>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</si>
  <si>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</si>
  <si>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</si>
  <si>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</si>
  <si>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</si>
  <si>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12</t>
  </si>
  <si>
    <t>13</t>
  </si>
  <si>
    <t>A/III/1b - ebből: tartós részesedések nem pénzügyi vállalkozásban</t>
  </si>
  <si>
    <t>14</t>
  </si>
  <si>
    <t>15</t>
  </si>
  <si>
    <t>16</t>
  </si>
  <si>
    <t>17</t>
  </si>
  <si>
    <t>18</t>
  </si>
  <si>
    <t>19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</si>
  <si>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</si>
  <si>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</si>
  <si>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</si>
  <si>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</si>
  <si>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</si>
  <si>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</si>
  <si>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</si>
  <si>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24</t>
  </si>
  <si>
    <t>A/IV/1b - ebből: tárgyi eszközök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</si>
  <si>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</si>
  <si>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</si>
  <si>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</si>
  <si>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</si>
  <si>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</si>
  <si>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32</t>
  </si>
  <si>
    <t>B/I Készletek (=B/I/1+…+B/I/5)</t>
  </si>
  <si>
    <t>35</t>
  </si>
  <si>
    <t>36</t>
  </si>
  <si>
    <t>42</t>
  </si>
  <si>
    <t>43</t>
  </si>
  <si>
    <t>B) NEMZETI VAGYONBA TARTOZÓ FORGÓESZKÖZÖK (= B/I+B/II)</t>
  </si>
  <si>
    <t>44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</si>
  <si>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</si>
  <si>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</si>
  <si>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</si>
  <si>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</si>
  <si>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</si>
  <si>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</si>
  <si>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</si>
  <si>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</si>
  <si>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</si>
  <si>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</si>
  <si>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</si>
  <si>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</si>
  <si>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</si>
  <si>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</si>
  <si>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</si>
  <si>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</si>
  <si>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</si>
  <si>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</si>
  <si>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</si>
  <si>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</si>
  <si>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</si>
  <si>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</si>
  <si>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</si>
  <si>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</si>
  <si>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113</t>
  </si>
  <si>
    <t>114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</si>
  <si>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</si>
  <si>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</si>
  <si>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</si>
  <si>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</si>
  <si>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145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</si>
  <si>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</si>
  <si>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</si>
  <si>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</si>
  <si>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</si>
  <si>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</si>
  <si>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161</t>
  </si>
  <si>
    <t>162</t>
  </si>
  <si>
    <t>163</t>
  </si>
  <si>
    <t>F/2 Költségek, ráfordítások aktív időbeli elhatárolása</t>
  </si>
  <si>
    <t>164</t>
  </si>
  <si>
    <t>F) AKTÍV IDŐBELI  ELHATÁROLÁSOK  (=F/1+F/2+F/3)</t>
  </si>
  <si>
    <t>166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</si>
  <si>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</si>
  <si>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</si>
  <si>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</si>
  <si>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</si>
  <si>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</si>
  <si>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</si>
  <si>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</si>
  <si>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</si>
  <si>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</si>
  <si>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178</t>
  </si>
  <si>
    <t>179</t>
  </si>
  <si>
    <t>180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</si>
  <si>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</si>
  <si>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</si>
  <si>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</si>
  <si>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</si>
  <si>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</si>
  <si>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184</t>
  </si>
  <si>
    <t>186</t>
  </si>
  <si>
    <t>H/I Költségvetési évben esedékes kötelezettségek (=H/I/1+…+H/I/9)</t>
  </si>
  <si>
    <t>H/II/3 Költségvetési évet követően esedékes kötelezettségek dologi kiadásokra</t>
  </si>
  <si>
    <t>H/II/9a - ebből: költségvetési évet követően esedékes kötelezettségek hosszú lejáratú hitelek, kölcsönök törlesztésére pénzügyi vállalkozásnak</t>
  </si>
  <si>
    <t>H/II Költségvetési évet követően esedékes kötelezettségek (=H/II/1+…+H/II/9)</t>
  </si>
  <si>
    <t>H/III/3 Más szervezetet megillető bevételek elszámolása</t>
  </si>
  <si>
    <t>236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</si>
  <si>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</si>
  <si>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</si>
  <si>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</si>
  <si>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</si>
  <si>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</si>
  <si>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</si>
  <si>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</si>
  <si>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 - Eredménykimutatás</t>
  </si>
  <si>
    <t>Dunaharaszti Város Önkormányzat célhiteleihez és egyéb fejlesztési hiteleihez kapcsolódó kötelezettségvállalás</t>
  </si>
  <si>
    <t>Célhitel (OTP)</t>
  </si>
  <si>
    <t>Hitel célja</t>
  </si>
  <si>
    <t>7.2 hitelcél: Közoktatási feladatellátás int….</t>
  </si>
  <si>
    <t>5.1 hitelcél: Helyi közútak építése, felújítása</t>
  </si>
  <si>
    <t>6.3 hitelcél: Csapadék - vízelvezetés</t>
  </si>
  <si>
    <t>Hitelszerződés kelte</t>
  </si>
  <si>
    <t>Kötelezettségvállalás száma</t>
  </si>
  <si>
    <t>Felvétel éve</t>
  </si>
  <si>
    <t>Kamat mértéke</t>
  </si>
  <si>
    <t>3 havi BUBOR + MFB refinanszírozási kamatfelár + OTP kamatfelár 2,5 %</t>
  </si>
  <si>
    <t>Biztosíték, jelzálog, óvadék</t>
  </si>
  <si>
    <t>Évek</t>
  </si>
  <si>
    <t>Törlesztések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</si>
  <si>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</si>
  <si>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</si>
  <si>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</si>
  <si>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</si>
  <si>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</si>
  <si>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</si>
  <si>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</si>
  <si>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</si>
  <si>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</si>
  <si>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</si>
  <si>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</si>
  <si>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</si>
  <si>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</si>
  <si>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</si>
  <si>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</si>
  <si>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</si>
  <si>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</si>
  <si>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</si>
  <si>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</si>
  <si>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</si>
  <si>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</si>
  <si>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</si>
  <si>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</si>
  <si>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</si>
  <si>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</si>
  <si>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Le nem hívott hitel állomány</t>
  </si>
  <si>
    <t>Dunaharaszti Város Önkormányzatának európai uniós forrásokból megvalósuló beruházásai</t>
  </si>
  <si>
    <t>Nettó</t>
  </si>
  <si>
    <t>A projekt fenntartási időszakára vállalt számszerűsíthető eredmények:</t>
  </si>
  <si>
    <t>I</t>
  </si>
  <si>
    <t>sorszám</t>
  </si>
  <si>
    <t>Bruttó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</si>
  <si>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</si>
  <si>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</si>
  <si>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</si>
  <si>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</si>
  <si>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</si>
  <si>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</si>
  <si>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</si>
  <si>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</si>
  <si>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</si>
  <si>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</si>
  <si>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</si>
  <si>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</si>
  <si>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</si>
  <si>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</si>
  <si>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</si>
  <si>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</si>
  <si>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</si>
  <si>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</si>
  <si>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</si>
  <si>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</si>
  <si>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Fenntartási időszak</t>
  </si>
  <si>
    <t>Célérték</t>
  </si>
  <si>
    <t>Dunaharaszti Önkormányzat</t>
  </si>
  <si>
    <t>Költségvetési bevételek   ( + )</t>
  </si>
  <si>
    <t>Finanszírozási egyenleg (Finanszírozási bevétel - Finanszírozási kiadás)</t>
  </si>
  <si>
    <t>Költségvetési egyenleg (Költségvetési működési egyenleg + Költségvetési felhalmozási egyenleg)</t>
  </si>
  <si>
    <t>Költségvetési felhalmozási egyenleg</t>
  </si>
  <si>
    <t>Költségvetési felhalmozási kiadások</t>
  </si>
  <si>
    <t>Költségvetési felhalmozási bevételek</t>
  </si>
  <si>
    <t>Költségvetési működési egyenleg</t>
  </si>
  <si>
    <t>Költségvetési működési kiadások</t>
  </si>
  <si>
    <t>Költségvetési működési bevételek</t>
  </si>
  <si>
    <t>K1-K9</t>
  </si>
  <si>
    <t>TÁRGYÉVI KIADÁSOK ÖSSZESEN</t>
  </si>
  <si>
    <t>B1-B8</t>
  </si>
  <si>
    <t>TÁRGYÉVI BEVÉTELEK ÖSSZESEN</t>
  </si>
  <si>
    <t xml:space="preserve">    Ebből: Hitelfelvétel</t>
  </si>
  <si>
    <t xml:space="preserve">   Ebből: hitelfelvétellel kapcsolatos kiadások</t>
  </si>
  <si>
    <t xml:space="preserve">    Ebből: felhalmozási célú intézményfinanszírozás bevétele</t>
  </si>
  <si>
    <t xml:space="preserve">   Ebből felhalmozási célú intézményfinanszírozás kiadása</t>
  </si>
  <si>
    <t xml:space="preserve">    Ebből: működési célú intézményfinanszírozás bevétele</t>
  </si>
  <si>
    <t xml:space="preserve">   Ebből működési célú intézményfinanszírozás kiadása</t>
  </si>
  <si>
    <t xml:space="preserve">   Ebből: államháztartáson belüli megelőlegezések visszafizetése</t>
  </si>
  <si>
    <t>K9</t>
  </si>
  <si>
    <t>Finanszírozási kiadások</t>
  </si>
  <si>
    <t>B8</t>
  </si>
  <si>
    <t>Finanszírozási bevételek</t>
  </si>
  <si>
    <t xml:space="preserve"> ebből: költségvetési felhalmozási kiadások</t>
  </si>
  <si>
    <t xml:space="preserve"> ebből: költségvetési felhalmozási bevételek</t>
  </si>
  <si>
    <t xml:space="preserve"> ebből: költségvetési működési kiadások</t>
  </si>
  <si>
    <t xml:space="preserve"> ebből: költségvetési működési bevételek</t>
  </si>
  <si>
    <t>K1-K8</t>
  </si>
  <si>
    <t xml:space="preserve">Költségvetési kiadások </t>
  </si>
  <si>
    <t>B1-B7</t>
  </si>
  <si>
    <t xml:space="preserve">Költségvetési bevételek </t>
  </si>
  <si>
    <t>K8</t>
  </si>
  <si>
    <t xml:space="preserve">Egyéb felhalmozási célú kiadások </t>
  </si>
  <si>
    <t>K7</t>
  </si>
  <si>
    <t>Felújítások</t>
  </si>
  <si>
    <t>B7</t>
  </si>
  <si>
    <t xml:space="preserve">Felhalmozási célú átvett pénzeszközök </t>
  </si>
  <si>
    <t>K6</t>
  </si>
  <si>
    <t xml:space="preserve">Beruházások </t>
  </si>
  <si>
    <t>B6</t>
  </si>
  <si>
    <t xml:space="preserve">Működési célú átvett pénzeszközök </t>
  </si>
  <si>
    <t>K5</t>
  </si>
  <si>
    <t xml:space="preserve">Egyéb működési célú kiadások </t>
  </si>
  <si>
    <t>B5</t>
  </si>
  <si>
    <t xml:space="preserve">Felhalmozási bevételek </t>
  </si>
  <si>
    <t>K4</t>
  </si>
  <si>
    <t>Ellátottak pénzbeli juttatásai</t>
  </si>
  <si>
    <t>B4</t>
  </si>
  <si>
    <t xml:space="preserve">Működési bevételek </t>
  </si>
  <si>
    <t>K3</t>
  </si>
  <si>
    <t xml:space="preserve">Dologi kiadások </t>
  </si>
  <si>
    <t>B3</t>
  </si>
  <si>
    <t xml:space="preserve">Közhatalmi bevételek </t>
  </si>
  <si>
    <t>K2</t>
  </si>
  <si>
    <t xml:space="preserve">Munkaadókat terhelő járulékok és szociális hozzájárulási adó                                                                            </t>
  </si>
  <si>
    <t>B2</t>
  </si>
  <si>
    <t xml:space="preserve">Felhalmozási célú támogatások államháztartáson belülről </t>
  </si>
  <si>
    <t>K1</t>
  </si>
  <si>
    <t>Személyi juttatások</t>
  </si>
  <si>
    <t>B1</t>
  </si>
  <si>
    <t xml:space="preserve">Működési célú támogatások államháztartáson belülről </t>
  </si>
  <si>
    <t>Rovat</t>
  </si>
  <si>
    <t>Kiadások</t>
  </si>
  <si>
    <t>Bevételek</t>
  </si>
  <si>
    <t>Helyi adók</t>
  </si>
  <si>
    <t>Saját bevételek (01.+…+07.)</t>
  </si>
  <si>
    <t xml:space="preserve">Saját bevételek (08. sor) 50 %-a </t>
  </si>
  <si>
    <t>Előző év(ek)ben keletkezett tárgyévet terhelő fizetési kötelezettség (11+14+…+20)</t>
  </si>
  <si>
    <t>Hitelből eredő fizetési kötelezettség (12+13)</t>
  </si>
  <si>
    <t xml:space="preserve">   - ebből: Tőketörlesztés (12.a.+12.b.+12.c.)</t>
  </si>
  <si>
    <t>12.a.</t>
  </si>
  <si>
    <t xml:space="preserve">        1-2-13-8400-1237-9-01 hitelszerződés: 2014. évi útépítések</t>
  </si>
  <si>
    <t>12.b.</t>
  </si>
  <si>
    <t xml:space="preserve">        1-2-13-8400-1237-9-01/1 hitelszerződés: 2014. évi csapadékvíz elvezetések</t>
  </si>
  <si>
    <t>12.c.</t>
  </si>
  <si>
    <t xml:space="preserve">       ÖB 8400 2013 0098 hitelszerződés: Szivárvány Óvoda építése</t>
  </si>
  <si>
    <t xml:space="preserve">   - ebből: Kamatfizetés (13.a.+13.b.+13.c.)</t>
  </si>
  <si>
    <t>13.a.</t>
  </si>
  <si>
    <t>13.b.</t>
  </si>
  <si>
    <t>13.c.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</si>
  <si>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</si>
  <si>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</si>
  <si>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</si>
  <si>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</si>
  <si>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</si>
  <si>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</si>
  <si>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</si>
  <si>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Tárgyévben keletkezett illetve keletkező, tárgyévet terhelő fizetési kötelezettség (22+25+…+33)</t>
  </si>
  <si>
    <t>Hitelből eredő fizetési kötelezettség (23+24)</t>
  </si>
  <si>
    <t xml:space="preserve">   - ebből: Tőketörlesztés (23.a.+23.b.+23.c.)</t>
  </si>
  <si>
    <t>23.a.</t>
  </si>
  <si>
    <t>23.b.</t>
  </si>
  <si>
    <t>23.c.</t>
  </si>
  <si>
    <t xml:space="preserve">   - ebből: Kamatfizetés (24.a.+24.b.+24.c.)</t>
  </si>
  <si>
    <t>24.a.</t>
  </si>
  <si>
    <t>24.b.</t>
  </si>
  <si>
    <t>24.c.</t>
  </si>
  <si>
    <t>Fizetési kötelezettség összesen (10+21)</t>
  </si>
  <si>
    <t>Fizetési kötelezettséggel csökkentett saját bevétel (9-38)</t>
  </si>
  <si>
    <t>Építményadó</t>
  </si>
  <si>
    <t>054 Sírhely</t>
  </si>
  <si>
    <t>Iparűzési adó</t>
  </si>
  <si>
    <t>előző évi hátralék</t>
  </si>
  <si>
    <t>3. sor</t>
  </si>
  <si>
    <t>Egyéb adóbev Pótlék, bírság (119)</t>
  </si>
  <si>
    <t>PMH B3 bírság, elj.díj</t>
  </si>
  <si>
    <t>4. sor</t>
  </si>
  <si>
    <t>052 Lakás</t>
  </si>
  <si>
    <t>Művház</t>
  </si>
  <si>
    <t>5. sor</t>
  </si>
  <si>
    <t>Részvény értékesítés (112)</t>
  </si>
  <si>
    <t xml:space="preserve">4. </t>
  </si>
  <si>
    <t>Teljesítés</t>
  </si>
  <si>
    <t>Eredeti előirányzat</t>
  </si>
  <si>
    <t>Módosított előirányzat</t>
  </si>
  <si>
    <t>2. Mérlegben következő évet terhelő kötött tételek</t>
  </si>
  <si>
    <t>II.</t>
  </si>
  <si>
    <t>Működési maradvány</t>
  </si>
  <si>
    <t>Felhalm.maradvány</t>
  </si>
  <si>
    <t>Maradvány összesen</t>
  </si>
  <si>
    <t>A/NEMZETI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</si>
  <si>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</si>
  <si>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</si>
  <si>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</si>
  <si>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</si>
  <si>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a kapcsolódó vagyoni értékű jogok</t>
  </si>
  <si>
    <t>1.1.Forgalomképtelen ingatlanok és a kapcsolódó vagyoni értékű jogok</t>
  </si>
  <si>
    <t>1.2. Nemzetgazdasági szempontból kiemelt jelentőségű  ingatlanok és kapcsolódó vagyoni értékű jogok</t>
  </si>
  <si>
    <t>1.3. Korlátozottan forgalomképes ingatlanok és a kapcsolódó vagyoni értékű jogok</t>
  </si>
  <si>
    <t>1.4. Üzleti (forgalomképes) ingatlanok és a kapcsolódó vagyoni értékű jogok</t>
  </si>
  <si>
    <t>2. Gépek, berendezések, felszerelések, járművek</t>
  </si>
  <si>
    <t>2.1. Forgalomképtelen gépek, berendezések, felszerelések, járművek</t>
  </si>
  <si>
    <t>2.2. Nemzetgazdasági szempontból kiemelt jelentőségű gépek, berendezések, felszerelések, járművek</t>
  </si>
  <si>
    <t>2.3. Korlátozottan forgalomképes gépek, berendezések, felszerelések, járművek</t>
  </si>
  <si>
    <t>2.4. Üzleti (forgalomképes) gépek, berendezések, felszerelések, járművek</t>
  </si>
  <si>
    <t xml:space="preserve">3. Tenyészállatok </t>
  </si>
  <si>
    <t xml:space="preserve">3.1. Forgalomképtelen tenyészállatok </t>
  </si>
  <si>
    <t xml:space="preserve">3.2. Nemzetgazdasági szempontból kiemelt jelentőségű tenyészállatok </t>
  </si>
  <si>
    <t xml:space="preserve">3.3. Korlátozottan forgalomképes tenyészállatok </t>
  </si>
  <si>
    <t xml:space="preserve">3.4. Üzleti tenyészállatok </t>
  </si>
  <si>
    <t xml:space="preserve">4. Beruházások, felújítások </t>
  </si>
  <si>
    <t>4.1. Forgalomképtelen beruházások, felújítások</t>
  </si>
  <si>
    <t>4.2.  Nemzetgazdasági szempontból kiemelt jelentőségű beruházások, felújítások</t>
  </si>
  <si>
    <t>4.3. Korlátozottan forgalomképes  beruházások, felújítások</t>
  </si>
  <si>
    <t>4.4. Üzlet (forgalomképes) beruházások, felújítások</t>
  </si>
  <si>
    <t>5. Tárgyi eszközök értékhelyesbítése</t>
  </si>
  <si>
    <t>5.1. Forgalomképtelen tárgyi eszközök értékhelyesbítése</t>
  </si>
  <si>
    <t>5.2.  Nemzetgazdasági szempontból kiemelt jelentőségű tárgyi eszközök értékhelyesbítése</t>
  </si>
  <si>
    <t>5.3. Korlátozottan forgalomképes tárgyi eszközök értékhelyesbítése</t>
  </si>
  <si>
    <t>5.4. Üzlet (forgalomképes) tárgyi eszközök értékhelyesbítése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</si>
  <si>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</si>
  <si>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</si>
  <si>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</si>
  <si>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</si>
  <si>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forgalmoképes tartós részesedés</t>
  </si>
  <si>
    <t>1.4. Üzlet (forgalomképes) tartós részesedés</t>
  </si>
  <si>
    <t xml:space="preserve">2. Tartós hitelviszonyt megtestesítő értékpapír </t>
  </si>
  <si>
    <t xml:space="preserve">2.1. Forgalomképtelen tartós hitelviszonyt megtestesítő értékpapír </t>
  </si>
  <si>
    <t xml:space="preserve">2.2. Nemzetgazdasági szempontból kiemelt jelentőségű tartós hitelviszonyt megtestesítő értékpapír </t>
  </si>
  <si>
    <t xml:space="preserve">2.3. Korlátozottan forgalmoképes tartós hitelviszonyt megtestesítő értékpapír </t>
  </si>
  <si>
    <t xml:space="preserve">2.4. Üzleti (forgalomképes) tartós hitelviszonyt megtestesítő értékpapír </t>
  </si>
  <si>
    <t>3. Befektetett pénzügyi eszközök értékhelyesbítése</t>
  </si>
  <si>
    <t xml:space="preserve">3.1. Forgalomképtelen  befektetett pénzügyi eszközök értékhelyesbítése </t>
  </si>
  <si>
    <t xml:space="preserve">3.2. Nemzetgazdasági szempontból kiemelt jelentőségű befektetett pénzügyi eszközök értékhelyesbítése </t>
  </si>
  <si>
    <t xml:space="preserve">3.3. Korlátozottan forgalmoképes befektetett pénzügyi eszközök értékhelyesbítése </t>
  </si>
  <si>
    <t xml:space="preserve">3.4. Üzleti (forgalomképes) befektetett pénzügyi eszközök értékhelyesbítése </t>
  </si>
  <si>
    <t xml:space="preserve">IV. Koncesszióba, vagyonkezelésbe adott eszközök </t>
  </si>
  <si>
    <t>1. Koncesszióba, vagyonkezelésbe adott forgalomképtelen eszköz</t>
  </si>
  <si>
    <t>2. Koncesszióba, vagyonkezelésbe adott nemzetgazdasági szempontból kiemelt jelentőségű eszköz</t>
  </si>
  <si>
    <t>3. Koncesszióba, vagyonkezelésbe adott korlátozottan forgalomképes eszköz</t>
  </si>
  <si>
    <t>4. Koncesszióba, vagyonkezelésbe adott üzleti (forgalomképes) eszköz</t>
  </si>
  <si>
    <t>B/ NEMZETI VAGYONBA TARTOZÓ FORGÓESZKÖZÖK</t>
  </si>
  <si>
    <t>I. Készletek (forgalomképes)</t>
  </si>
  <si>
    <t xml:space="preserve">II. Értékpapírok </t>
  </si>
  <si>
    <t xml:space="preserve">C/ PÉNZESZKÖZÖK </t>
  </si>
  <si>
    <t>I. Hosszú lejáratú betétek</t>
  </si>
  <si>
    <t>II. Pénztárak, csekkek, betétkönyvek</t>
  </si>
  <si>
    <t xml:space="preserve">III. Forintszámlák </t>
  </si>
  <si>
    <t>IV. Devizaszámlák</t>
  </si>
  <si>
    <t>V. Idegen pénzeszközök</t>
  </si>
  <si>
    <t xml:space="preserve">D/ KÖVETELÉSEK  </t>
  </si>
  <si>
    <t xml:space="preserve">I. Költségvetési évben esedékes követelések </t>
  </si>
  <si>
    <t>II. Költségvetési évet követő évben esedékes követelések</t>
  </si>
  <si>
    <t>III. Követelés jellegű sajátos elszámolás</t>
  </si>
  <si>
    <t>E/ EGYÉB SAJÁTOS ESZKÖZOLDALI ELSZÁMOLÁSOK</t>
  </si>
  <si>
    <t>F/ AKTÍV IDŐBELI  ELHATÁROLÁSOK</t>
  </si>
  <si>
    <t>ESZKÖZÖK MINDÖSSZESEN</t>
  </si>
  <si>
    <t>G/ SAJÁT TŐKE</t>
  </si>
  <si>
    <t>I.  Nemzeti vagyon induláskori értéke</t>
  </si>
  <si>
    <t>II. Nemzeti vagyon változásai</t>
  </si>
  <si>
    <t>III. Egyéb eszközök induláskori értéke és változ.</t>
  </si>
  <si>
    <t>IV. Felhalmozott eredmény</t>
  </si>
  <si>
    <t>V. Eszközök értékhelyesbítésének forrása</t>
  </si>
  <si>
    <t>VI. Mérleg szerinti eredmény</t>
  </si>
  <si>
    <t>H/ KÖTELEZETTSÉGEK</t>
  </si>
  <si>
    <t xml:space="preserve">I. Költségvetési évben esedékes kötelezettségek  </t>
  </si>
  <si>
    <t>II. Költségvetési évet követően esedékes kötelezettségek</t>
  </si>
  <si>
    <t>III. Kötelezettség jellegű sajátos elszámolások</t>
  </si>
  <si>
    <t xml:space="preserve">FORRÁSOK MINDÖSSZESEN </t>
  </si>
  <si>
    <t>Mérték-egység</t>
  </si>
  <si>
    <t>fő</t>
  </si>
  <si>
    <t>db</t>
  </si>
  <si>
    <t>m2</t>
  </si>
  <si>
    <t>Ft</t>
  </si>
  <si>
    <t>J/ PASSZÍV IDŐBELI ELHATÁROLÁSOK</t>
  </si>
  <si>
    <t>2013.07.03-2015.</t>
  </si>
  <si>
    <t>2014.12.10-2015.</t>
  </si>
  <si>
    <t>* konszolidált összeg</t>
  </si>
  <si>
    <t>2014.*</t>
  </si>
  <si>
    <t>38.</t>
  </si>
  <si>
    <t>Dunaharaszti Város Önkormányzata SZABAD MARADVÁNY</t>
  </si>
  <si>
    <t>D/III/1b - ebből: beruházásokra, felújításokra adott előlegek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</si>
  <si>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</si>
  <si>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</si>
  <si>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</si>
  <si>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</si>
  <si>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</si>
  <si>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</si>
  <si>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</si>
  <si>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</si>
  <si>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</si>
  <si>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H/III/1 Kapott előlegek</t>
  </si>
  <si>
    <t>246</t>
  </si>
  <si>
    <t>249</t>
  </si>
  <si>
    <t>250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</si>
  <si>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</si>
  <si>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</si>
  <si>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</si>
  <si>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</si>
  <si>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</si>
  <si>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</si>
  <si>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</si>
  <si>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</si>
  <si>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</si>
  <si>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</si>
  <si>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</si>
  <si>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</si>
  <si>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</si>
  <si>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</si>
  <si>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</si>
  <si>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</si>
  <si>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</si>
  <si>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</si>
  <si>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</si>
  <si>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</si>
  <si>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</si>
  <si>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</si>
  <si>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</si>
  <si>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</si>
  <si>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25 Részesedések, értékpapírok, pénzeszközök értékvesztése (&gt;=25a+25b)</t>
  </si>
  <si>
    <t>IX Pénzügyi műveletek ráfordításai (=22+23+24+25+26)</t>
  </si>
  <si>
    <t>B)  PÉNZÜGYI MŰVELETEK EREDMÉNYE (=VIII-IX)</t>
  </si>
  <si>
    <t>C)  MÉRLEG SZERINTI EREDMÉNY (=±A±B)</t>
  </si>
  <si>
    <t>e) az egyéb nyújtott kedvezmény vagy kölcsön elengedésének összege nemleges</t>
  </si>
  <si>
    <t>Összesen:</t>
  </si>
  <si>
    <t>Önkormányzati tulajdonban álló helyiségek</t>
  </si>
  <si>
    <t>Közterület rendjének fenntartása</t>
  </si>
  <si>
    <t>Feladat típusa</t>
  </si>
  <si>
    <t>Halasztott tételek</t>
  </si>
  <si>
    <t>Módosított Támogatásértékű működési kiadás</t>
  </si>
  <si>
    <t>Eredeti Támogatásértékű működési kiadás</t>
  </si>
  <si>
    <t>Szervezet neve</t>
  </si>
  <si>
    <t>d)  a helyiségek, eszközök hasznosításából származó bevételből nyújtott kedvezmény, mentesség összege</t>
  </si>
  <si>
    <t>Bírság</t>
  </si>
  <si>
    <t>Késedelmi pótlék</t>
  </si>
  <si>
    <t>Gépjárműadó</t>
  </si>
  <si>
    <t>Kommunális adó</t>
  </si>
  <si>
    <t>Telekadó</t>
  </si>
  <si>
    <t xml:space="preserve">c)  a helyi adónál, gépjárműadónál biztosított kedvezmény, mentesség összege adónemenként </t>
  </si>
  <si>
    <t>b)  lakosság részére lakásépítéshez, lakásfelújításhoz nyújtott kölcsönök elengedésének összege nemleges</t>
  </si>
  <si>
    <t>Közoktatás</t>
  </si>
  <si>
    <t>Szociális (Városi Bölcsőde)</t>
  </si>
  <si>
    <t>Szociális (Gondozási Központ)</t>
  </si>
  <si>
    <t>adatok Ft-ban</t>
  </si>
  <si>
    <t>a)  ellátottak térítési díjának,  kártérítésének méltányossági alapon történő elengedésének összege</t>
  </si>
  <si>
    <t>szabad maradvány felhasználás</t>
  </si>
  <si>
    <t>Eredmény/Mutató/Indikátor neve</t>
  </si>
  <si>
    <t>Mérték-</t>
  </si>
  <si>
    <t>Megvalósítási</t>
  </si>
  <si>
    <t>Fenntartási időszak (célérték)</t>
  </si>
  <si>
    <t>egység</t>
  </si>
  <si>
    <t>időszak (célérték)</t>
  </si>
  <si>
    <t>(db, fő, %)</t>
  </si>
  <si>
    <t xml:space="preserve">    Ebből: államháztartáson belüli megelőlegezések</t>
  </si>
  <si>
    <t>Alaptevékenység kötelezettvállalással terhelt maradvány (részletezve 13.c tábla)</t>
  </si>
  <si>
    <t>Dunaharaszti József Attila Művelődési Ház</t>
  </si>
  <si>
    <t xml:space="preserve">Dunaharaszti Városi Könyvtár </t>
  </si>
  <si>
    <t>Dunaharaszti Szivárvány Óvoda</t>
  </si>
  <si>
    <t>Dunaharaszti        Szivárvány Óvoda</t>
  </si>
  <si>
    <t>Szerződés tárgya/ Feladat</t>
  </si>
  <si>
    <t>Szabad maradvány mindösszesen</t>
  </si>
  <si>
    <t>Többéves kihatással járó döntések számszerűsítése évenkénti bontásban és összesítve célok szerint</t>
  </si>
  <si>
    <t>Sor-
szám</t>
  </si>
  <si>
    <t>Kötelezettség jogcíme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</si>
  <si>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</si>
  <si>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</si>
  <si>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</si>
  <si>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</si>
  <si>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</si>
  <si>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</si>
  <si>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</si>
  <si>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</si>
  <si>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</si>
  <si>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Működési célú finanszírozási kiadások
(hiteltörlesztés, értékpapír vásárlás, stb.)</t>
  </si>
  <si>
    <t>Felhalmozási célú finanszírozási kiadások
(hiteltörlesztés, értékpapír vásárlás, stb.)</t>
  </si>
  <si>
    <t>7.2 hitelcél: Közoktatási feladatellátás int…</t>
  </si>
  <si>
    <t>2013</t>
  </si>
  <si>
    <t>5.1 hitelcél: Helyi közutak építése, felújítása</t>
  </si>
  <si>
    <t>2014</t>
  </si>
  <si>
    <t>6.3 hitelcél: Csapadék-vízelvezetés</t>
  </si>
  <si>
    <t>Beruházási kiadások beruházásonként</t>
  </si>
  <si>
    <t>Felújítási kiadások felújításonként</t>
  </si>
  <si>
    <t>Egyéb (Pl.: garancia és kezességvállalás, stb.)</t>
  </si>
  <si>
    <t>Összesen (1+2+3+4+5)</t>
  </si>
  <si>
    <t>Kötelezettség-vállalás éve</t>
  </si>
  <si>
    <t>Dunaharaszti Városi Könyvtár</t>
  </si>
  <si>
    <t>Szivárvány Óvoda</t>
  </si>
  <si>
    <t>Művelődési Ház</t>
  </si>
  <si>
    <t>Költségvetési kiadások    ( - )</t>
  </si>
  <si>
    <t>G/III Egyéb eszközök induláskori értéke és változásai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</si>
  <si>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</si>
  <si>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</si>
  <si>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</si>
  <si>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</si>
  <si>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</si>
  <si>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</si>
  <si>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</si>
  <si>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</si>
  <si>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</si>
  <si>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</si>
  <si>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</si>
  <si>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</si>
  <si>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</si>
  <si>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</si>
  <si>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</si>
  <si>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>2037. év</t>
  </si>
  <si>
    <t>2038. év</t>
  </si>
  <si>
    <t>052 lakás</t>
  </si>
  <si>
    <t>Előző évi egyéb adóbev Pótlék, bírság</t>
  </si>
  <si>
    <t>Előző évi PMH B3  bírság elj.díj</t>
  </si>
  <si>
    <t>051 Terembér</t>
  </si>
  <si>
    <t>Alszámlák (kötött) összesen</t>
  </si>
  <si>
    <t>Támogatói Okirat</t>
  </si>
  <si>
    <t>Támogatási előleg
összege</t>
  </si>
  <si>
    <t>Ebből pénzforglamilag teljesült 2017.12.31-ig</t>
  </si>
  <si>
    <t>Ebből pénzforglamilag teljesült 2018.12.31-ig</t>
  </si>
  <si>
    <t>Következő évre
áthúzódó összeg</t>
  </si>
  <si>
    <t>Támogatás intenzítása 100%</t>
  </si>
  <si>
    <t>Kiadások szerződés szerinti megoszlása</t>
  </si>
  <si>
    <t>Projekt teljes összege</t>
  </si>
  <si>
    <t>Pénzforgalmi teljesítés
2017.12.31-ig</t>
  </si>
  <si>
    <t>Pénzforgalmi teljesítés
2018.12.31-ig</t>
  </si>
  <si>
    <t>Projekt minősszesen:</t>
  </si>
  <si>
    <t>Dunaharaszti Város Önkormányzatának Pest Megyei Területfejlesztési Programja 
keretében megvalósult beruházása</t>
  </si>
  <si>
    <t>A beruházás fenntartási időszakára vállalt számszerűsíthető eredmények:</t>
  </si>
  <si>
    <t>m</t>
  </si>
  <si>
    <t>Kihelyezésre kerülő jelzőtáblák száma</t>
  </si>
  <si>
    <t>km/m</t>
  </si>
  <si>
    <t>A fejlesztéssel érintett útszegély hossza</t>
  </si>
  <si>
    <t>Dunaharaszti Város Önkormányzatának Nemzetgazdasági Minisztérium
 támogatásával megvalósult beruházása</t>
  </si>
  <si>
    <r>
      <t>Pályázat címe.</t>
    </r>
    <r>
      <rPr>
        <b/>
        <u/>
        <sz val="12"/>
        <rFont val="Garamond"/>
        <family val="1"/>
        <charset val="238"/>
      </rPr>
      <t xml:space="preserve"> „Jedlik Ányos Terv - Elektromos töltőállomás létesítése"</t>
    </r>
  </si>
  <si>
    <r>
      <t xml:space="preserve">Szerződésszám: </t>
    </r>
    <r>
      <rPr>
        <b/>
        <sz val="12"/>
        <rFont val="Garamond"/>
        <family val="1"/>
        <charset val="238"/>
      </rPr>
      <t>GZR-T-Ö-2016-0030</t>
    </r>
  </si>
  <si>
    <t>"A" tipuső töltőberendezés</t>
  </si>
  <si>
    <t xml:space="preserve">db </t>
  </si>
  <si>
    <t>Dunaharaszti Város Önkormányzatának Nemzeti Fejlesztési Minisztérium 
támogatásával megvalósult beruházása</t>
  </si>
  <si>
    <r>
      <t>Pályázat címe.</t>
    </r>
    <r>
      <rPr>
        <b/>
        <u/>
        <sz val="12"/>
        <rFont val="Garamond"/>
        <family val="1"/>
        <charset val="238"/>
      </rPr>
      <t xml:space="preserve"> „A Dunaharaszti MTK részére teniszpálya építése"</t>
    </r>
  </si>
  <si>
    <r>
      <t xml:space="preserve">Szerződésszám: </t>
    </r>
    <r>
      <rPr>
        <b/>
        <sz val="12"/>
        <rFont val="Garamond"/>
        <family val="1"/>
        <charset val="238"/>
      </rPr>
      <t xml:space="preserve"> BMSK-III-010/0214/2017</t>
    </r>
  </si>
  <si>
    <t xml:space="preserve">Szabadtéri pálya bővítése szabványos méretre </t>
  </si>
  <si>
    <t>Várható üzemeltetés költségei</t>
  </si>
  <si>
    <t>Saját forrásból megvalósuló védőháló</t>
  </si>
  <si>
    <t>Egészségügyi alapellátást nyújtó intézmény fejlesztése</t>
  </si>
  <si>
    <t>PM_EUALAPELLATAS_2017/52</t>
  </si>
  <si>
    <t>Támogatási Szerződés</t>
  </si>
  <si>
    <t>Támogatás intenzítása 85%</t>
  </si>
  <si>
    <t>Jelenleg is azonos funkciót betöltő helyiségek/épületek felújítása</t>
  </si>
  <si>
    <t>Családbarát funkciók kialakításához kapcsolódó költségek</t>
  </si>
  <si>
    <t>Előzetes tanulmányok, engedélyezési
dokumentumok költsége</t>
  </si>
  <si>
    <t>Pályázati dokumentáció összeállításának költsége</t>
  </si>
  <si>
    <t>Műszaki tervek, kiviteli és tendertervek, ezek hatósági díja</t>
  </si>
  <si>
    <t>Közbeszerzési dokumentáció összeállítása</t>
  </si>
  <si>
    <t>Műszaki ellenőri szolgátatás költsége</t>
  </si>
  <si>
    <t>Személyi jellegű ráfordítás</t>
  </si>
  <si>
    <t>Tájékoztató táblák elkészítése és kihelyezése</t>
  </si>
  <si>
    <t>Sajtómegjelenés költsége</t>
  </si>
  <si>
    <t>Zárórendezvény költsége</t>
  </si>
  <si>
    <t xml:space="preserve"> Dunaharaszti A3 belvízelvezető mederburkolat kialakítása</t>
  </si>
  <si>
    <t>PM_CSAPVIZGAZD_2017/39</t>
  </si>
  <si>
    <t>Belterület védelmét szolgáló vízelvezető hálózat létesítése,
fejlesztése, rekonstrukciója</t>
  </si>
  <si>
    <t>Pályázati dokumentáció összeállítása, műszaki tervdokumentcáiók elkészítése, tervezés, engedélyezés és hatósági eljárások</t>
  </si>
  <si>
    <t>Személyi jellegű ráfordítás - számlás</t>
  </si>
  <si>
    <t>Parkoló-férőhely és akadálymentes parkolóférőhely létesítéséhez</t>
  </si>
  <si>
    <t>Élelmiszer beszerzés</t>
  </si>
  <si>
    <t>Postaköltség</t>
  </si>
  <si>
    <t>Üzemanyag</t>
  </si>
  <si>
    <t>Számítógép üzemeltetés</t>
  </si>
  <si>
    <t>Gázdíj</t>
  </si>
  <si>
    <t>Mérlegben következő évet terhelő kötött tételek</t>
  </si>
  <si>
    <t>műk</t>
  </si>
  <si>
    <t>felh</t>
  </si>
  <si>
    <t>* A költségvetési rendeletben az intézményi maradvánnyal szemben került tervezésre.</t>
  </si>
  <si>
    <t>tulajdoni hányada</t>
  </si>
  <si>
    <t>2017. évi 2018-ban terhelt</t>
  </si>
  <si>
    <t>2018. évi 2019-ben terhelt</t>
  </si>
  <si>
    <t xml:space="preserve"> Ft-ban</t>
  </si>
  <si>
    <r>
      <t xml:space="preserve"> </t>
    </r>
    <r>
      <rPr>
        <sz val="10"/>
        <rFont val="Times New Roman CE"/>
        <family val="1"/>
        <charset val="238"/>
      </rPr>
      <t>Bankszámlák és elektronikus pénzeszközök egyenlege</t>
    </r>
  </si>
  <si>
    <r>
      <t xml:space="preserve"> </t>
    </r>
    <r>
      <rPr>
        <sz val="10"/>
        <rFont val="Times New Roman CE"/>
        <family val="1"/>
        <charset val="238"/>
      </rPr>
      <t>Pénztárak  egyenlege</t>
    </r>
  </si>
  <si>
    <t>Kötött működési maradvány</t>
  </si>
  <si>
    <t>Kötött felhalmozási maradvány</t>
  </si>
  <si>
    <t>Kötött maradvány összesen</t>
  </si>
  <si>
    <t>Szabad működési maradvány</t>
  </si>
  <si>
    <t>Szabad felhalmozási maradvány</t>
  </si>
  <si>
    <t>Szabad maradvány összesen</t>
  </si>
  <si>
    <t>Eredeti                   Működési célú pénzeszköz átadás államháztartáson kívülre</t>
  </si>
  <si>
    <t>Módosított                   Működési célú pénzeszköz átadás államháztartáson kívülre</t>
  </si>
  <si>
    <t>060 sportcsarnok</t>
  </si>
  <si>
    <t xml:space="preserve">    Ebből: működési célú maradvány</t>
  </si>
  <si>
    <t xml:space="preserve">    Ebből: felhalmozási célú maradvány</t>
  </si>
  <si>
    <t xml:space="preserve">    Ebből: lekötött betét felbontása</t>
  </si>
  <si>
    <t xml:space="preserve">   Ebből: betét lekötés</t>
  </si>
  <si>
    <t>2017</t>
  </si>
  <si>
    <t>Egészségügyi alapellátást nyújtó intézmény fejlesztése PM_EUALAPELLATAS_2017/52</t>
  </si>
  <si>
    <t>I=(D+E+F+G+H+I)</t>
  </si>
  <si>
    <t>Ebből pénzforglamilag teljesült 2019.12.31-ig</t>
  </si>
  <si>
    <t>Pénzforgalmi teljesítés
2019.12.31-ig</t>
  </si>
  <si>
    <t>Ebből pénzforgalmilag teljesült 2018.12.31-ig</t>
  </si>
  <si>
    <t>Támogatás intenzítása:  24,69% (2020.évben 23,61%-ra módosul)</t>
  </si>
  <si>
    <t>Projekt teljes összege 2. sz. módosítás után</t>
  </si>
  <si>
    <t>Projekt teljes összege 3.sz. módosítás után</t>
  </si>
  <si>
    <t>Pályázati elszámolásban  beadott módosított 2018.12.31-ig</t>
  </si>
  <si>
    <t xml:space="preserve">Projekt teljes összege </t>
  </si>
  <si>
    <t>Projekt teljes összege módosítás után</t>
  </si>
  <si>
    <t>Pénzforgalmi teljesítés
2018.12.31-ig módosított</t>
  </si>
  <si>
    <t>Következő évre
áthúzódó összeg*</t>
  </si>
  <si>
    <t>Lukács Laci</t>
  </si>
  <si>
    <t>Projekt mindösszesen:</t>
  </si>
  <si>
    <t xml:space="preserve"> Dunaharaszti Város Önkormányzatának energiahatékonysági beruházása </t>
  </si>
  <si>
    <t xml:space="preserve">KEHOP-5.2.9-16-2017-00185
 </t>
  </si>
  <si>
    <t>Ebből pénzforgalmilag teljesült 2017.12.31-ig</t>
  </si>
  <si>
    <t>Ebből pénzforgalmilag teljesült 2019.12.31-ig</t>
  </si>
  <si>
    <t>Támogatás intenzítása 93,5 %</t>
  </si>
  <si>
    <t>Építéshez kapcsolódó költségek (Mese Óvoda)</t>
  </si>
  <si>
    <t>Építéshez kapcsolódó költségek (Városi Bölcsőde, József Attila Művelődési Ház)</t>
  </si>
  <si>
    <t>Előzetes tanulmányok, engedélyezési dokumentumok költségei</t>
  </si>
  <si>
    <t>Közbeszerzési költségek</t>
  </si>
  <si>
    <t>Projektmenedzsment személyi jellegű ráfordítása</t>
  </si>
  <si>
    <t>Kötelezően előírt nyilvánosság biztosításának költsége</t>
  </si>
  <si>
    <t>Műszaki ellenőri szolgáltatás költsége</t>
  </si>
  <si>
    <r>
      <t>Projekt címe.</t>
    </r>
    <r>
      <rPr>
        <b/>
        <u/>
        <sz val="12"/>
        <rFont val="Garamond"/>
        <family val="1"/>
        <charset val="238"/>
      </rPr>
      <t xml:space="preserve"> „Dunaharaszti Városi Bölcsőde új tagintézményének építése"</t>
    </r>
  </si>
  <si>
    <r>
      <t xml:space="preserve">Projekt azonosítószáma: </t>
    </r>
    <r>
      <rPr>
        <b/>
        <sz val="12"/>
        <rFont val="Garamond"/>
        <family val="1"/>
        <charset val="238"/>
      </rPr>
      <t>VEKOP-6.1.1-15-PT1-2016-00076</t>
    </r>
  </si>
  <si>
    <r>
      <t xml:space="preserve">Projekt menedzser: </t>
    </r>
    <r>
      <rPr>
        <b/>
        <sz val="12"/>
        <rFont val="Garamond"/>
        <family val="1"/>
        <charset val="238"/>
      </rPr>
      <t>Pest Megyei Területfejlesztési Nonprofit Kft.</t>
    </r>
  </si>
  <si>
    <t>Újonnan létrehozott, 0-3 éves gyermekek elhelyezését biztosító férőhelyek száma</t>
  </si>
  <si>
    <t>Tűz- és munkavédelmi szolgáltatás</t>
  </si>
  <si>
    <t>Pályázati tanácsadás</t>
  </si>
  <si>
    <t>Tűz és munkavédelmi szolgáltatás</t>
  </si>
  <si>
    <t>Áramdíj</t>
  </si>
  <si>
    <t>Internet</t>
  </si>
  <si>
    <t>Telefonköltség</t>
  </si>
  <si>
    <t>Víz- és csatornadíjak</t>
  </si>
  <si>
    <t>4. Áthúzódó kötelezettségvállalások miatt kötött tételek</t>
  </si>
  <si>
    <t>Áthúzódó kötelezettségvállalások miatt kötött tételek</t>
  </si>
  <si>
    <t>ÁTHÚZÓDÓ KÖTELEZETTSÉGVÁLLALÁSOK MIATT KÖTÖTT TÉTELEK</t>
  </si>
  <si>
    <t>Vízdíj</t>
  </si>
  <si>
    <t>Facebook,instagram oldal kezelése</t>
  </si>
  <si>
    <t>Melegétel beszerzés szociális és idősek nappali ellátására</t>
  </si>
  <si>
    <t>Vásárolt élelmezés - gyermekétkeztetés</t>
  </si>
  <si>
    <t>Víz-és csatornadíj</t>
  </si>
  <si>
    <t>Dunaharaszti város zöldterületeinek karbantartása, közterületek tisztántartása</t>
  </si>
  <si>
    <t>Bérlakás értékesítés számla</t>
  </si>
  <si>
    <t>Víziközmű számla</t>
  </si>
  <si>
    <t>Környezetvédelmi alap számla</t>
  </si>
  <si>
    <t>Parkolóhely megváltás számla</t>
  </si>
  <si>
    <t>Víziközmű fejlesztési számla</t>
  </si>
  <si>
    <t>Közműfejlesztési lebonyolítási számla</t>
  </si>
  <si>
    <t>MÉRLEGBEN KÖVETKEZŐ ÉVET TERHELŐ KÖTÖTT TÉTELEK</t>
  </si>
  <si>
    <t>Dunaharaszti város közútjainak karbantartása, üzemeltetése, beruházási és felújítási feladatok</t>
  </si>
  <si>
    <t>Dunaharaszti város településrendezési eszközeinek vizsgálata és módosítása az OTrT-vel és BSTrT-vel való megfelelőség tekintetében</t>
  </si>
  <si>
    <t>Dh. Város HÉSZ felülvizsgálata, egységes szerkezetbe foglalása</t>
  </si>
  <si>
    <t>működés</t>
  </si>
  <si>
    <t>felhalmozás</t>
  </si>
  <si>
    <t>5. Támogatási előlegek miatt kötött tételek</t>
  </si>
  <si>
    <t xml:space="preserve">Felhalmozás </t>
  </si>
  <si>
    <t>TÁMOGATÁSI ELŐLEGEK MIATT KÖTÖTT TÉTELEK</t>
  </si>
  <si>
    <t>Támogatási előlegek miatt kötött tételek</t>
  </si>
  <si>
    <t>Mérlegben szereplő kötött maradvány</t>
  </si>
  <si>
    <t>Elkülönített számlák</t>
  </si>
  <si>
    <t>Önk Mben szereplő kötött maradvány</t>
  </si>
  <si>
    <t>Önk Mben köv évet terhelő kötött tételek</t>
  </si>
  <si>
    <t>Önk elkül szlak</t>
  </si>
  <si>
    <t>Önk áth szerződések miatt kötött tételek</t>
  </si>
  <si>
    <t>Önk támogatási előlegek miatt kötött tételek</t>
  </si>
  <si>
    <t>Bölcsőde Mben szereplő kötött maradvány</t>
  </si>
  <si>
    <t>Mese Óvoda Mben szereplő kötött maradvány</t>
  </si>
  <si>
    <t>PMH Mben szereplő kötött maradvány</t>
  </si>
  <si>
    <t>Hétszínvirág Óvoda Mben szereplő kötött maradvány</t>
  </si>
  <si>
    <t>Művház Mben szereplő kötött maradvány</t>
  </si>
  <si>
    <t>Könyvtár Mben szereplő kötött maradvány</t>
  </si>
  <si>
    <t>Könyvtár elkül szlak</t>
  </si>
  <si>
    <r>
      <t xml:space="preserve"> </t>
    </r>
    <r>
      <rPr>
        <sz val="10"/>
        <rFont val="Times New Roman CE"/>
        <family val="1"/>
        <charset val="238"/>
      </rPr>
      <t>Pénztárak egyenlege</t>
    </r>
  </si>
  <si>
    <t>ebből:letéti számla</t>
  </si>
  <si>
    <t>Befektetett eszközök</t>
  </si>
  <si>
    <t>Tartós részesedések nem pénzügyi vállalkozásban</t>
  </si>
  <si>
    <t>A gazdasági társaság, társulás azonosító adatai</t>
  </si>
  <si>
    <t>Változás</t>
  </si>
  <si>
    <t>Értékhelyesbítés (növelő tétel)</t>
  </si>
  <si>
    <t>Értékvesztés (csökkentő tétel)</t>
  </si>
  <si>
    <t>A részesedés keletkezésének módja, ideje</t>
  </si>
  <si>
    <t>A részesedés megszerzésének célja, számviteli besorolása</t>
  </si>
  <si>
    <t>megnevezése</t>
  </si>
  <si>
    <t xml:space="preserve">összege </t>
  </si>
  <si>
    <r>
      <t xml:space="preserve">DV Kft. Törzstőke  </t>
    </r>
    <r>
      <rPr>
        <i/>
        <sz val="12"/>
        <rFont val="Garamond"/>
        <family val="1"/>
        <charset val="238"/>
      </rPr>
      <t>13-09-070493</t>
    </r>
  </si>
  <si>
    <t>alapítás  1995/2003</t>
  </si>
  <si>
    <r>
      <t xml:space="preserve">Északdunántúli Vízmű Zártkörűen Működő Részvénytársaság </t>
    </r>
    <r>
      <rPr>
        <i/>
        <sz val="12"/>
        <rFont val="Garamond"/>
        <family val="1"/>
        <charset val="238"/>
      </rPr>
      <t>11-10-001450</t>
    </r>
  </si>
  <si>
    <t>részvény vásárlás 2015.07.09.</t>
  </si>
  <si>
    <t>041 piac</t>
  </si>
  <si>
    <t>2019</t>
  </si>
  <si>
    <t xml:space="preserve">Dunaharaszti Városi Önkormányzat Bölcsőde új tagintézmény építése PM_BOLCSODEFEJLESZTES_2019/20 </t>
  </si>
  <si>
    <t>Ebből pénzforgalmilag teljesült 2020.12.31-ig</t>
  </si>
  <si>
    <t>Pénzforgalmi teljesítés
2020.12.31-ig</t>
  </si>
  <si>
    <t>Ebből pénzforglamilag teljesült 2020.12.31-ig</t>
  </si>
  <si>
    <t>Megelőző ellátások nyújtására, egészségfejlesztési
 feladatok ellátásához kapcsolódó költségek</t>
  </si>
  <si>
    <t>* A MÁK-os számlán maradó 18.837 Ft a végelszámolás során visszautalásra fog kerülni.</t>
  </si>
  <si>
    <t>2020. júliustól alacsonyabb a járulék összege, ezért -3942 Ft ebből adódik</t>
  </si>
  <si>
    <t xml:space="preserve"> Dunaharaszti Város Önkormányzatának Bölcsőde új tagintézmény építése beruházás</t>
  </si>
  <si>
    <t>PM_BOLCSODEFEJLESZTES_2019/20</t>
  </si>
  <si>
    <t>Támogatás intenzítása 76 %</t>
  </si>
  <si>
    <t>Építési tevékenység</t>
  </si>
  <si>
    <t>Projekt előkészítési, tervezési költségek</t>
  </si>
  <si>
    <t>Közbeszerzési eljárások költségei</t>
  </si>
  <si>
    <t>Műszaki  ellenőri szolgálatás költsége</t>
  </si>
  <si>
    <t>Projektmenedzsment költsége</t>
  </si>
  <si>
    <t>Tájékoztatás, nyilvánosság költsége</t>
  </si>
  <si>
    <t>Következő évre áthúzódó összeg</t>
  </si>
  <si>
    <t>Személyi juttatás</t>
  </si>
  <si>
    <t>ÖNKORMÁNYZAT KÖTÖTT MARADVÁNY MINÖSSZESEN</t>
  </si>
  <si>
    <t>DUNAHARASZTI VÁROSI BÖLCSŐDE KÖTÖTT MARADVÁNY MINÖSSZESEN</t>
  </si>
  <si>
    <t>DUNAHARASZTI TERÜLETI GONDOZÁSI KÖZPONT KÖTÖTT MARADVÁNY MINÖSSZESEN</t>
  </si>
  <si>
    <t>DUNAHARASZTI MESE ÓVODA KÖTÖTT MARADVÁNY MINÖSSZESEN</t>
  </si>
  <si>
    <t>DUNAHARASZTI POLGÁRMESTERI HIVATAL KÖTÖTT MARADVÁNY MINÖSSZESEN</t>
  </si>
  <si>
    <t>DUNAHARASZTI HÉTSZÍNVIRÁG ÓVODA KÖTÖTT MARADVÁNY MINÖSSZESEN</t>
  </si>
  <si>
    <t>DUNAHARASZTI JÓZSEF ATTILA MŰVELŐDÉSI HÁZ KÖTÖTT MARADVÁNY MINÖSSZESEN</t>
  </si>
  <si>
    <t>DUNAHARASZTI SZIVÁRVÁNY ÓVODA KÖTÖTT MARADVÁNY MINÖSSZESEN</t>
  </si>
  <si>
    <t>DUNAHARASZTI VÁROSI KÖNYVTÁR KÖTÖTT MARADVÁNY MINÖSSZESEN</t>
  </si>
  <si>
    <t>DUNAHARASZTI VÁROS  MINDÖSSZESEN</t>
  </si>
  <si>
    <t>eszközök</t>
  </si>
  <si>
    <t>Források</t>
  </si>
  <si>
    <r>
      <t>Pályázat címe.</t>
    </r>
    <r>
      <rPr>
        <b/>
        <u/>
        <sz val="12"/>
        <rFont val="Garamond"/>
        <family val="1"/>
        <charset val="238"/>
      </rPr>
      <t xml:space="preserve"> „Dunaharaszti, A3 belvízelvezető mederburkolat kialakítása 1+825 (51. sz. főút melletti kanyarulat) és 3+575 (Bezerédi utca) között"</t>
    </r>
  </si>
  <si>
    <r>
      <t xml:space="preserve">Szerződésszám: </t>
    </r>
    <r>
      <rPr>
        <b/>
        <sz val="12"/>
        <rFont val="Garamond"/>
        <family val="1"/>
        <charset val="238"/>
      </rPr>
      <t>PM_CSAPVIZGAZD_2017/39</t>
    </r>
  </si>
  <si>
    <t>Felújított, nyílt csapadékvíz-elvezető árok hossza, összesen</t>
  </si>
  <si>
    <t>Burkolattal ellátott, felújított vagy új építésű nyílt csapadékvíz-elvezető árok hossza, összesen</t>
  </si>
  <si>
    <r>
      <t>Projekt címe.</t>
    </r>
    <r>
      <rPr>
        <b/>
        <u/>
        <sz val="12"/>
        <rFont val="Garamond"/>
        <family val="1"/>
        <charset val="238"/>
      </rPr>
      <t xml:space="preserve"> „Dunaharaszti Szivárvány Óvoda Százszorszép Tagóvoda fejlesztése (felújítása, korszerűsítése)"</t>
    </r>
  </si>
  <si>
    <r>
      <t xml:space="preserve">Projekt azonosítószáma: </t>
    </r>
    <r>
      <rPr>
        <b/>
        <sz val="12"/>
        <rFont val="Garamond"/>
        <family val="1"/>
        <charset val="238"/>
      </rPr>
      <t>PM_OVODAFEJLESZTES_2017/46</t>
    </r>
  </si>
  <si>
    <t>Mértékegység</t>
  </si>
  <si>
    <t>2023</t>
  </si>
  <si>
    <t>2024</t>
  </si>
  <si>
    <t>A fejlesztés eredményeként felúíjtásban, átalakításban részesült óvodai férőhelyek száma</t>
  </si>
  <si>
    <t>A fejlesztés eredményeként felúíjtásban, átalakításban részesült óvodai férőhelyek mérete</t>
  </si>
  <si>
    <t>A fejlesztést követően az óvodai ellátást nyújtó férőhelyek száma</t>
  </si>
  <si>
    <t>A fejlesztést követően az óvodai ellátást nyújtó férőhelyek mérete</t>
  </si>
  <si>
    <r>
      <t>Pályázat címe.</t>
    </r>
    <r>
      <rPr>
        <b/>
        <u/>
        <sz val="12"/>
        <rFont val="Garamond"/>
        <family val="1"/>
        <charset val="238"/>
      </rPr>
      <t xml:space="preserve"> „Önkormányzati tulajdonú belterületi utak szilárd burkolattal történő kiépítésének, felújításának és korszerűsítésének támogatása gazdaságfejlesztési céllal Pest megye területén"</t>
    </r>
  </si>
  <si>
    <r>
      <t xml:space="preserve">Szerződésszám: </t>
    </r>
    <r>
      <rPr>
        <b/>
        <sz val="12"/>
        <rFont val="Garamond"/>
        <family val="1"/>
        <charset val="238"/>
      </rPr>
      <t>PM_ONKORMUT_2018/79</t>
    </r>
  </si>
  <si>
    <t>Felújított, szilárd burkolatú utak hossza</t>
  </si>
  <si>
    <t>Megvalósított közlekedésbiztonsági elemek száma</t>
  </si>
  <si>
    <t>Ültetett fák száma</t>
  </si>
  <si>
    <t>Dunaharaszti Város Önkormányzat saját bevételeinek és a Stabilitási törvény 8. § (2) bekezdése szerinti adósságot keletkeztető ügyleteiből eredő fizetési kötelezettségeinek várható összege a futamidő végéig (Áht. 29/A. §) Ft-ban</t>
  </si>
  <si>
    <t>Bankkártyás tranzakció jutaléka</t>
  </si>
  <si>
    <t>1. Mérlegben szereplő kötött maradvány -szállítók</t>
  </si>
  <si>
    <t>Gyermekjólét áthúzódó kötelezettségek</t>
  </si>
  <si>
    <t>Bölcsőde áthúzódó</t>
  </si>
  <si>
    <t>Gyermekjóléti Mben kötött szállítóks</t>
  </si>
  <si>
    <t>Tűz - és munkavédelmi tanácsadás</t>
  </si>
  <si>
    <t>Hétszínvirág Óvoda áth szerződések miatt kötött tételek</t>
  </si>
  <si>
    <t>Könyvtár áthúzódó</t>
  </si>
  <si>
    <t>Mese áthúzódó</t>
  </si>
  <si>
    <t>Rendészeti iroda takarítás</t>
  </si>
  <si>
    <t>PMH áthúzódó</t>
  </si>
  <si>
    <t>Művház áthúzódó</t>
  </si>
  <si>
    <t>Szivárvány Mben szereplő kötött</t>
  </si>
  <si>
    <t>Szivárvány áthúzódó</t>
  </si>
  <si>
    <t>Tűzjelző rendszer karbantartása</t>
  </si>
  <si>
    <t>Területi Mben szereplő kötött</t>
  </si>
  <si>
    <t>Iskolaorvosi feladatok</t>
  </si>
  <si>
    <t>Területi áthúzódó</t>
  </si>
  <si>
    <t>Városi Piac takarítás</t>
  </si>
  <si>
    <t>Városi kommunikációs feladatok</t>
  </si>
  <si>
    <t>Bezerédi Sportpark építése</t>
  </si>
  <si>
    <t>ÖNK Összesen működés</t>
  </si>
  <si>
    <t xml:space="preserve">ÖNK Összesen felhalmozás </t>
  </si>
  <si>
    <t>DUNAHARASZTI CSALÁD- ÉS GYERMEKJÓLÉTI SZOLGÁLAT  KÖTÖTT MARADVÁNY MINÖSSZESEN</t>
  </si>
  <si>
    <t>Mérlegben szereplő kötött maradvány - szállítók</t>
  </si>
  <si>
    <t xml:space="preserve">DH-Fő úti projekt Kft. </t>
  </si>
  <si>
    <t>részvény vásárlás 2021.01.21.</t>
  </si>
  <si>
    <t>A/III/1 Tartós részesedések (=A/III/1a+…+A/III/1f)</t>
  </si>
  <si>
    <t>25</t>
  </si>
  <si>
    <t>30</t>
  </si>
  <si>
    <t>54</t>
  </si>
  <si>
    <t>55</t>
  </si>
  <si>
    <t>74</t>
  </si>
  <si>
    <t>75</t>
  </si>
  <si>
    <t>151</t>
  </si>
  <si>
    <t>E/I/1 Adott előleghez kapcsolódó előzetesen felszámított levonható általános forgalmi adó</t>
  </si>
  <si>
    <t>165</t>
  </si>
  <si>
    <t>169</t>
  </si>
  <si>
    <t>170</t>
  </si>
  <si>
    <t>185</t>
  </si>
  <si>
    <t>194</t>
  </si>
  <si>
    <t>225</t>
  </si>
  <si>
    <t>251</t>
  </si>
  <si>
    <t>252</t>
  </si>
  <si>
    <r>
      <t>Pénzkészlet 2021. január 1-jén
e</t>
    </r>
    <r>
      <rPr>
        <i/>
        <sz val="10"/>
        <rFont val="Times New Roman CE"/>
        <charset val="238"/>
      </rPr>
      <t>bből:</t>
    </r>
  </si>
  <si>
    <t>Előző év ktgvetési maradványának igénybevétele teljesítése tárgyidőszaki egyenlege</t>
  </si>
  <si>
    <t xml:space="preserve">36 számlák forgalma (egyéb sajátos elszámolások)  </t>
  </si>
  <si>
    <r>
      <t>Záró pénzkészlet 2021. december 31-én
e</t>
    </r>
    <r>
      <rPr>
        <i/>
        <sz val="10"/>
        <rFont val="Times New Roman CE"/>
        <charset val="238"/>
      </rPr>
      <t>bből:</t>
    </r>
  </si>
  <si>
    <t>21 Pénzügyi műveletek egyéb eredményszemléletű bevételei (&gt;=21a+21b)</t>
  </si>
  <si>
    <t>Módosított   Támogatásértékű működési kiadás</t>
  </si>
  <si>
    <t xml:space="preserve"> „Bezerédi Szabadidő- és Sportpark kialakítása; tanösvény kialakítása megvalósítása)” BMÖGF/1166/2021.</t>
  </si>
  <si>
    <t>2021</t>
  </si>
  <si>
    <t xml:space="preserve">
 „Dunaharaszti, Gyermekorvosi Rendelő fejlesztése (tetőfelújítás)” BMÖFT/6-9/2021.</t>
  </si>
  <si>
    <t xml:space="preserve">
„Dunaharaszti József Attila Művelődési Ház 2330 Dunaharaszti, Táncsics Mihály u. 2. szám alatti épülete tetőszerkezetének felújítása” K-Sz-0137/000855/2021</t>
  </si>
  <si>
    <t>Pénzforgalmi teljesítés
2021.12.31-ig</t>
  </si>
  <si>
    <t>Ebből pénzforglamilag teljesült 2021.12.31-ig</t>
  </si>
  <si>
    <t>Nem került kiutalásra</t>
  </si>
  <si>
    <t>Fel nem használt összeg</t>
  </si>
  <si>
    <t>Ebből pénzforgalmilag teljesült 2021.12.31-ig</t>
  </si>
  <si>
    <t>A projekt teljes költsége előzetes számítások alapján 1.056.486.919,- Ft, azonban a támogatási szerződés még nem került módosításra, ezért a táblázatban a hatályos támogatási szerződés szerinti összegek szerepelnek.</t>
  </si>
  <si>
    <t>„Dunaharaszti József Attila Művelődési Ház 2330 Dunaharaszti, Táncsics Mihály u. 2. szám alatti épülete tetőszerkezetének felújítása”</t>
  </si>
  <si>
    <t>K-Sz-0137/000855/2021</t>
  </si>
  <si>
    <t>Elszámolható összköltség: 15 000 000 Ft</t>
  </si>
  <si>
    <t>Támogatás
összege</t>
  </si>
  <si>
    <t>Felújítási kiadások</t>
  </si>
  <si>
    <t>Bezerédi Szabadidő- és Sportpark kialakítása; tanösvény kialakítása</t>
  </si>
  <si>
    <t>BMÖGF/1166/2021.</t>
  </si>
  <si>
    <t>Sport-park beruházás</t>
  </si>
  <si>
    <t>Parti sétány beruházás</t>
  </si>
  <si>
    <t>Gyermekorvosi Rendelő fejlesztése (tetőfelújítás)</t>
  </si>
  <si>
    <t>Támogatás intenzítása 50%</t>
  </si>
  <si>
    <t>Egészségügyi fejlesztés - felújítás</t>
  </si>
  <si>
    <t>Egyéb közvetlen költség</t>
  </si>
  <si>
    <r>
      <t>Projekt címe.</t>
    </r>
    <r>
      <rPr>
        <b/>
        <u/>
        <sz val="12"/>
        <rFont val="Garamond"/>
        <family val="1"/>
        <charset val="238"/>
      </rPr>
      <t xml:space="preserve"> „Dunaharaszti Város Önkormányzatának energiahatékonysági
beruházása"</t>
    </r>
  </si>
  <si>
    <r>
      <t xml:space="preserve">Projekt azonosítószáma: </t>
    </r>
    <r>
      <rPr>
        <b/>
        <sz val="12"/>
        <rFont val="Garamond"/>
        <family val="1"/>
        <charset val="238"/>
      </rPr>
      <t>KEHOP_5.2.9_16_2017_00185</t>
    </r>
  </si>
  <si>
    <t>2020</t>
  </si>
  <si>
    <t>2022</t>
  </si>
  <si>
    <t>2025</t>
  </si>
  <si>
    <t>A középületek éves elsődleges energia-fogyasztásának csökkenése (KWh/év)</t>
  </si>
  <si>
    <t>KWh/év</t>
  </si>
  <si>
    <t>A megújuló energiaforrásból előállított energiamennyiség (GJ/év)</t>
  </si>
  <si>
    <t>GJ/év</t>
  </si>
  <si>
    <t>Az üvegházhatást okozó gázok éves csökkenése (tonna CO2 egyenérték)</t>
  </si>
  <si>
    <t>tonna CO2 egyenérték</t>
  </si>
  <si>
    <t>Energiahatékonysági fejlesztések által elért primer energia felhasználás csökkenés (GJ/év)</t>
  </si>
  <si>
    <t>További kapacitás megújuló energia előállítására (MW)
felhasználás csökkenés (GJ/év)</t>
  </si>
  <si>
    <t>Helyi adóbev</t>
  </si>
  <si>
    <t>2. sor Tulajdonosi bev</t>
  </si>
  <si>
    <t>042 Közter, reklámtábla</t>
  </si>
  <si>
    <t>051 nem lakásc</t>
  </si>
  <si>
    <t>054 sírhely</t>
  </si>
  <si>
    <t>069, 070</t>
  </si>
  <si>
    <t>036 DHRV végelsz</t>
  </si>
  <si>
    <t>502  előző évi hátralék</t>
  </si>
  <si>
    <t>052 előző évi hátralék</t>
  </si>
  <si>
    <t>069, 070, 105 Bérleti díj</t>
  </si>
  <si>
    <t>060 Sportcsarnok</t>
  </si>
  <si>
    <t>PMH TE értékesítés</t>
  </si>
  <si>
    <t>Hétszín bérleti díj</t>
  </si>
  <si>
    <t>Mese bérleti díj</t>
  </si>
  <si>
    <t>Művház, Laffert bérl.díj</t>
  </si>
  <si>
    <t>( értékvesztés, értékhelyesbítés miatt )</t>
  </si>
  <si>
    <r>
      <t>*A benyújtott számlaösszesítők alapján a kivitelezés költsége alacsonyabb, mint a hatályos Támogatási Szerződésben, 2 131 237 Ft-tal. Ennek</t>
    </r>
    <r>
      <rPr>
        <b/>
        <sz val="11"/>
        <rFont val="Calibri"/>
        <family val="2"/>
        <charset val="238"/>
        <scheme val="minor"/>
      </rPr>
      <t xml:space="preserve"> a támogatás-tartalma 1 811 551 Ft, amely 2022.01.26-án visszafizetésre került </t>
    </r>
    <r>
      <rPr>
        <sz val="11"/>
        <rFont val="Calibri"/>
        <family val="2"/>
        <charset val="238"/>
        <scheme val="minor"/>
      </rPr>
      <t>a támogató szervezet felé.</t>
    </r>
  </si>
  <si>
    <t>*A benyújtott számlaösszesítők alapján a kivitelezés költsége alacsonyabb, mint a hatályos Támogatási Szerződésben, illetve járulékcsökkenés is történt, így 287.632 Ft-tal csökkent az elszámolható összeg. Ennek a támogatás-tartalma 265.245 Ft, amely 2021.05.04-én visszafizetésre került a támogató szervezet felé.</t>
  </si>
  <si>
    <t>Dunaharaszti Város Önkormányzata 2022. évi költségvetésének végrehajtásáról szóló beszámoló (zárszámadás) egyes mellékletei, tájékoztató táblái és függelékei</t>
  </si>
  <si>
    <t xml:space="preserve"> 2023. évi eredeti előirányzatok között maradvány igénybevételként szerepel</t>
  </si>
  <si>
    <t>2023. évi eredeti előirányzatok között maradvány igénybevételként szerepel</t>
  </si>
  <si>
    <t>Államháztartáson belüli megelőlegezések visszafizetése miatti költségvetési   évet követően esedékes kötelezettségek  - 2023. évi normatíva előleg</t>
  </si>
  <si>
    <t>MÁK nál vezetett EU TOP_PLUSZ -1.2.1-21 Dunaharaszti-Taksony kerékpárút pályázati számla</t>
  </si>
  <si>
    <t>MÁK-nál vezetett Bölcsődei pályázathoz kapcsolódó számla</t>
  </si>
  <si>
    <t>Nem teljesített törlesztések 
2022. december 31.</t>
  </si>
  <si>
    <t xml:space="preserve">Záró állomány : 2022.12.31.        </t>
  </si>
  <si>
    <t>Össznévérték 2021. december 31.            (Előző év)</t>
  </si>
  <si>
    <t>Össznévérték                2022. december 31.   tárgyév</t>
  </si>
  <si>
    <t>Pénzeszközök változása  2022. évben</t>
  </si>
  <si>
    <t>45</t>
  </si>
  <si>
    <t>53</t>
  </si>
  <si>
    <t>59</t>
  </si>
  <si>
    <t>64</t>
  </si>
  <si>
    <t>68</t>
  </si>
  <si>
    <t>80</t>
  </si>
  <si>
    <t>103</t>
  </si>
  <si>
    <t>108</t>
  </si>
  <si>
    <t>112</t>
  </si>
  <si>
    <t>135</t>
  </si>
  <si>
    <t>138</t>
  </si>
  <si>
    <t>144</t>
  </si>
  <si>
    <t>147</t>
  </si>
  <si>
    <t>149</t>
  </si>
  <si>
    <t>D/III/1d - ebből: igénybe vett szolgáltatásra adott előlegek</t>
  </si>
  <si>
    <t>150</t>
  </si>
  <si>
    <t>154</t>
  </si>
  <si>
    <t>160</t>
  </si>
  <si>
    <t>168</t>
  </si>
  <si>
    <t>E/III/1 December havi illetmények, munkabérek elszámolása</t>
  </si>
  <si>
    <t>172</t>
  </si>
  <si>
    <t>E/III Egyéb sajátos eszközoldali elszámolások (=E/III/1+E/III/2)</t>
  </si>
  <si>
    <t>173</t>
  </si>
  <si>
    <t>175</t>
  </si>
  <si>
    <t>177</t>
  </si>
  <si>
    <t>188</t>
  </si>
  <si>
    <t>193</t>
  </si>
  <si>
    <t>211</t>
  </si>
  <si>
    <t>214</t>
  </si>
  <si>
    <t>224</t>
  </si>
  <si>
    <t>229</t>
  </si>
  <si>
    <t>235</t>
  </si>
  <si>
    <t>238</t>
  </si>
  <si>
    <t>242</t>
  </si>
  <si>
    <t>H/III/7 Letétre, megőrzésre, fedezetkezelésre átvett pénzeszközök, biztosítékok</t>
  </si>
  <si>
    <t>245</t>
  </si>
  <si>
    <t>248</t>
  </si>
  <si>
    <t>Könyvsz.érték 2022. december 31.</t>
  </si>
  <si>
    <t>Dunaharaszti Önkormányzat közvetett támogatásainak részletezése 2022. évben az Ávr.  28 §-a szerint, amelyről rendelkezik az Áht. 24 § (4) bekezdés c) pontja</t>
  </si>
  <si>
    <t>Képviselő-testület reprezentációs kiadások évzáró vacsora</t>
  </si>
  <si>
    <t>Buszmegállókban információs táblák internet díja, tárhely szolgáltatás</t>
  </si>
  <si>
    <t>Közbeszerzési eljárás díja</t>
  </si>
  <si>
    <t>KisDuna TV műsoridő vásárlás</t>
  </si>
  <si>
    <t>Víz- és csatornadíjak, gázdíjak</t>
  </si>
  <si>
    <t>Továbbszámlázások (gázdíj, fogászati röntgen készülékek felülvizsgálata</t>
  </si>
  <si>
    <t>Temető hűtőberendezések karbantartása, hamvasztás, kellékbeszerzés</t>
  </si>
  <si>
    <t>Sportcsarnok kazán karbantartás</t>
  </si>
  <si>
    <t>Elektromos autó töltőállomás áramdíj</t>
  </si>
  <si>
    <t>Óvodások fogászati szűrése</t>
  </si>
  <si>
    <t>Napközis tábor főépület kiviteli tervdokumentáció</t>
  </si>
  <si>
    <t>Kinizsi utcai szennyvíz nyomóvezeték és a vasúti pályatest keresztezés kiviteli munkáinak, valamint az Északi Ipartelep betápláló vízvezeték és a vasúti pályatest keresztezés kiviteli munkáinak műszaki ellenőrzése</t>
  </si>
  <si>
    <t>D225 KPE nyomócső építése a Kinizsi u. és Somogyvári u. közötti szakaszon, a Somogyvári úti meglévő szennyvíz átemelőbe kötve, a szükséges bontási és helyreállítási munkákkal, szerelvényekkel</t>
  </si>
  <si>
    <t>Dunaharaszti D160-as KPE víznyomócső építése a Pillangó utcától a vasút alatti átfúrásig 209 fm</t>
  </si>
  <si>
    <t>Dh. Napsugár u. 2. szám alatt a Dunaharaszti Város Önkormányzat telephelyére vonatkozó éves levegőtisztaság-védelmi jelentés</t>
  </si>
  <si>
    <t>Dunaharaszti területén állati tetem begyűjtése</t>
  </si>
  <si>
    <t>Dunaharaszti területén kóbor állatok befogása</t>
  </si>
  <si>
    <t>Városi kommunikációs feladatok megszervezése</t>
  </si>
  <si>
    <t>Orvosi ügyelet dologi kiadás</t>
  </si>
  <si>
    <t>Piknik park fenntartása</t>
  </si>
  <si>
    <t>Dunaharaszti M0-ás híd alatti terület fenntartása</t>
  </si>
  <si>
    <t>Buszmegállók karbantartása</t>
  </si>
  <si>
    <t>Dunaharaszti Sport-szigeti játszótér karbantartása</t>
  </si>
  <si>
    <t>Duna-sétány (Autótechnikától az M0 hídig) fenntartása</t>
  </si>
  <si>
    <t>Sétány ( kikötőtől a teniszpályáig) fenntartása</t>
  </si>
  <si>
    <t>Városi Piac szemétszállítás</t>
  </si>
  <si>
    <t xml:space="preserve">Fogyatékos személyek nappali ellátásának biztosítása </t>
  </si>
  <si>
    <t>Dunaharaszti 0181/70,71,72, 0187/36,37,38 hrsz-ú ingatlanok kisajátításához szükséges helyszínrajz elkészítése</t>
  </si>
  <si>
    <t>Rotavírus vakcina</t>
  </si>
  <si>
    <t>Dunaharaszti Város Integrált Településfejlesztési Stratégia módosítása</t>
  </si>
  <si>
    <t>Dh.Festő utcában haladó közcélú kisfeszültségű szabadvezetékes hálózatszakasz kiváltása</t>
  </si>
  <si>
    <t>Dh. Város  épületei energiafelhasználása adatainak gyűjtése és feldolgozása 2022. évre a fajlagos energiafelhasználási mutatók számításához valamint Éves megvalósulási jelentéshez adatok feldolgozása, elkészítése és feltöltése a MEKH adatbázisba</t>
  </si>
  <si>
    <t>Közintézmények energiahatékonysági feladatai támogatása</t>
  </si>
  <si>
    <t>Dunaharaszti Város kül- és belterületi burkolatlan, nyílt ár és belvízelvezető csatornáinak, csapadékvíz átemelő szivattyútelepeinek üzemeltetési és karbantartási munkáinak ellátása</t>
  </si>
  <si>
    <t>Dunaharaszti város belterületi zárt csapadékvíz- elvezető rendszerének, valamint nyílt szikkasztó árkainak üzemeltetési és karbantartási munkáinak, ellátása (kivéve Millenium lakóterület burkolt árkai, illetve Duna utcai övárok)</t>
  </si>
  <si>
    <t>Dunaharaszti Szigeti Műfüves focipálya működéséből származó zajterhelés és zajkibocsátási mérések, lehetséges zajvédelmi megoldások,alternatívák és azok költségbecslését bemutató dokumentáció készítése</t>
  </si>
  <si>
    <t>Dunaharaszti közútjainak karbantartásához és üzemeltetéséhez kapcsolódó teljes körű műszaki ellenőrzés</t>
  </si>
  <si>
    <t>Dunaharaszti külterületi és belterületi nyílt és zárt csapadékvíz-elvezető rendszerek, ár- és belvízelvezető csatornák, szivattyútelepek üzemeltetésének és karbantartásának teljes körű műszaki ellenőrzése</t>
  </si>
  <si>
    <t>A lakosság körében (háztartásokban) keletkező (veszélyes) hulladékok gyűjtésére, elszállítására és kezelésére/ártalmatlanítására vonatkozó akció lebonyolítása Dunaharaszti területén lakossági (veszélyes) hulladékok átvétele/kezelése</t>
  </si>
  <si>
    <t>MÁV-alsó buszjárat - BUBE vágányzár idejére</t>
  </si>
  <si>
    <t>Sportcsarnok gázdíj</t>
  </si>
  <si>
    <t>Dunaharaszti Földvári u. 15. szám alatti általános iskola konyhájában gázmérőhely átalakítás</t>
  </si>
  <si>
    <t>Dunaharaszti 0173/8b hrsz-ú ingatlanon álló Dunaharaszti 25/B jelű erdőrészlet részterületes végleges igénybevételi eljárás lefolytatása szervízút kialakítása céljából</t>
  </si>
  <si>
    <t>Adventi műsor hangosítás</t>
  </si>
  <si>
    <t>Gázdíj továbbszámlázás</t>
  </si>
  <si>
    <t>Újévi köszöntő kisfilm készítése</t>
  </si>
  <si>
    <t>Sportcsarnok reprezentációs kiadás évzáró rendezvény</t>
  </si>
  <si>
    <t>Rágcsálóirtás</t>
  </si>
  <si>
    <t>Dunaharaszti Város teljeskörű, 419/2021.(VII.15.) Kormányrendelet szerinti településterv megalapozó vizsgálatának elkészítése</t>
  </si>
  <si>
    <t>Közvilágítási szakvélemény készítés</t>
  </si>
  <si>
    <t>Piacra parkolási és  helyjegyek beszerzése</t>
  </si>
  <si>
    <t>Buszjárat támogatása</t>
  </si>
  <si>
    <t>Terembura Szerepkör támogatása</t>
  </si>
  <si>
    <t>Dunaharaszti Lehmann kapitány utcai átemelő és a hozzá tartozó gravitációs gyűjtő vezeték tervének elkészítése, engedélyeztetése</t>
  </si>
  <si>
    <t>Szennyvíztisztító Telep fejlesztéssel kapcsolatos vízjogi létesítési engedélyeztetése</t>
  </si>
  <si>
    <t>" Új Városi Bölcsőde Tagintézmény épület kivitelezése" projekttel összefüggő komplett (építész, gépész, elektromos) műszaki ellenőri feladatok ellátása</t>
  </si>
  <si>
    <t>Új Városi Bölcsőde Tagintézmény alapozásának áttervezése</t>
  </si>
  <si>
    <t>Dunaharaszti Városi Sportcsarnok napelemes, hálózatra visszatápláló rendszer kiépítése projekt műszaki ellenőri feladatok ellátása</t>
  </si>
  <si>
    <t>Dunaharaszti Orvosi rendelő  napelemes, hálózatra visszatápláló rendszer kiépítése projekt műszaki ellenőri feladatok ellátása</t>
  </si>
  <si>
    <t>Sportcsarnok épületén megvalósítandó háztartásméretű napelemes kiserőmű tervezésére engedélyeztetésére és kivetelezésére vonatkozó teljeskörű bonyolítási és kivitelezési munkák elvégzése</t>
  </si>
  <si>
    <t>Felnőtt orvosi rendelő épületén megvalósítandó háztartásméretű napelemes kiserőmű tervezésére engedélyeztetésére és kivetelezésére vonatkozó teljeskörű bonyolítási és kivitelezési munkák elvégzése</t>
  </si>
  <si>
    <t>Napközis tábor tervezői költségbecslés készítése</t>
  </si>
  <si>
    <t>Új Városi Bölcsőde gáztervének  elkészítése és a gázengedély ügyintézése</t>
  </si>
  <si>
    <t>Dunaharaszti Akácfa u. 2/a alatti Területi Gondozási Központ fedett terasz- szaletli átalakítási munkálatainak elvégzése</t>
  </si>
  <si>
    <t>Dunaharaszti Akácfa u. 2/a alatti Területi Gondozási Központ gazdasági bejárat és kerítés kialakítása</t>
  </si>
  <si>
    <t>Új Városi Bölcsőde Tagintézmény épület kivitelezése</t>
  </si>
  <si>
    <t>Dunaharaszti Hétszínvirág Óvoda meglévő falikazánok cseréjének épületgépészeti tervezési munkái és tervezői költségbecslés készítése</t>
  </si>
  <si>
    <t>Dunaharaszti Család- és Gyermekjóléti Intézet meglévő kazánjának cseréjének épületgépészeti tervezési munkái és tervezői költségbecslés készítése</t>
  </si>
  <si>
    <t>Dunaharaszti Mese Óvoda számára 1 db földgáztüzelésű kondenzációs falikazán és levegő-víz hőszivatttyútelep hőtermelőkre történő épületgépészeti tervezés és tervezői költségbecslés készítése</t>
  </si>
  <si>
    <t>Dunaharaszti Polgármesteri Hivatal meglévő kazánjának cseréjének épületgépészeti tervezési munkái és tervezői költségbecslés készítése és hőszivattyútelep telepítésének gazdaságossági vizsgálata</t>
  </si>
  <si>
    <t>Dunaharaszti Rendőrség meglévő kazánjának cseréjének épületgépészeti tervezési munkái és tervezői költségbecslés készítése</t>
  </si>
  <si>
    <t>Karbantartási kiadás</t>
  </si>
  <si>
    <t>Szőnyegbérlet</t>
  </si>
  <si>
    <t>Elektromos hűtőtáska</t>
  </si>
  <si>
    <t>Karbantartási anyagok</t>
  </si>
  <si>
    <t>Iskolaegészségügyi konferencia</t>
  </si>
  <si>
    <t>Bankköltség, POS terminál bérleti díja</t>
  </si>
  <si>
    <t>Veszélyes hulladék elszállítás</t>
  </si>
  <si>
    <t>Informatikai rendszer üzemeltetése</t>
  </si>
  <si>
    <t>DV Dunaharaszti Vagyongazdálkodási Kft. - Dh. Területi Gondozási Központ épületeinek kertészeti munkái, takarítás, karbantartás, üzemeltetési díj</t>
  </si>
  <si>
    <t>Számítástechnika eszközök karbantartása</t>
  </si>
  <si>
    <t>Kollegiális vezetőorvosi feladatok ellátása és nőgyógyászati rendelés operatív irányítása</t>
  </si>
  <si>
    <t>Felvonó karbantartása</t>
  </si>
  <si>
    <t>Lakosság részére belgyógyászati szakrendelés és EKG szolgáltatás</t>
  </si>
  <si>
    <t xml:space="preserve">Vészjelző bérleti díj </t>
  </si>
  <si>
    <t>Előadóművészeti tevékenység Karácsonyi ünnepség</t>
  </si>
  <si>
    <t>Fénymásolás díja</t>
  </si>
  <si>
    <t>Anyakönyvi iroda bútorzat</t>
  </si>
  <si>
    <t>Karácsonyi ünnepség - reprezentációs kiadás</t>
  </si>
  <si>
    <t>Tűzjelző rendszer tervezése és telepítése</t>
  </si>
  <si>
    <t>Fő út 152 B épület mennyezeti és oldalvakolat javítási munkálatai</t>
  </si>
  <si>
    <t>Plakátok, szórólapok</t>
  </si>
  <si>
    <t>Fűtési energia felhasználás csökkentését szolgáló átalakítás</t>
  </si>
  <si>
    <t>Előadóművészeti tevékenység</t>
  </si>
  <si>
    <t>2023. évi  eredeti költségvetésbe beemelésre került szabad maradvány</t>
  </si>
  <si>
    <t>Zárszámadási rendelet elfogadását követően kerül beemelésre a 2023. évi költségvetésbe a szabad maradvány terhére</t>
  </si>
  <si>
    <t>Zárszámadási rendelet elfogadását követően kerül beemelésre a 2023. évi költségvetésbe a szabad maradvány terhére összesen</t>
  </si>
  <si>
    <t>Szobatermosztát szerelés</t>
  </si>
  <si>
    <t>Szobatermosztát</t>
  </si>
  <si>
    <t>felhalm</t>
  </si>
  <si>
    <t>Alaptevékenység kötelezettségvállalással terhelt maradvány (11.+…+15.) (részletezve 13.c tábla)</t>
  </si>
  <si>
    <r>
      <t xml:space="preserve">DUNAHARASZTI VÁROS KÖTÖTT MARADVÁNY MINDÖSSZESEN </t>
    </r>
    <r>
      <rPr>
        <sz val="18"/>
        <color rgb="FFFF0000"/>
        <rFont val="Garamond"/>
        <family val="1"/>
        <charset val="238"/>
      </rPr>
      <t>(13.b. tábla 10., 11., 12., 13. és 14. sora összesen)</t>
    </r>
  </si>
  <si>
    <t>Csapadékvízelvezetés tervezések</t>
  </si>
  <si>
    <t>Csapadékvíz beruházások lakossági kérésre</t>
  </si>
  <si>
    <t xml:space="preserve">Földárok építése </t>
  </si>
  <si>
    <t xml:space="preserve">Burkolt árok építése </t>
  </si>
  <si>
    <t>Választott tisztségviselők (polgármester és képviselők) eszközfejlesztés</t>
  </si>
  <si>
    <t>Önkormányzati igazgatás</t>
  </si>
  <si>
    <t>Köztéri szemétgyűjtők beszerzése</t>
  </si>
  <si>
    <t>Közterületi kamerák beszerzése</t>
  </si>
  <si>
    <t>Dunaharaszti-Taksony kerékpárút építése (TOP_PLUSZ-1.2.1-21-PT1-2022-00013 támogatás: 49.565.206,- Ft) önrész: 50.000.000,- Ft</t>
  </si>
  <si>
    <t>Útépítési és kerékpárút építési tervek (előző évi maradvány: )</t>
  </si>
  <si>
    <t>Fekvőrendőrök kihelyezése</t>
  </si>
  <si>
    <t>Paál L. utca és az 51. sz. főút kereszteződésében kialakítandó körforgalom módosított terveinek elkészítése és engedélyeztetése</t>
  </si>
  <si>
    <t>Temető fenntartás eszközbeszerzés</t>
  </si>
  <si>
    <t>Temetkezés eszközbeszerzés</t>
  </si>
  <si>
    <t>Temetkezés gépkocsi átalakítás</t>
  </si>
  <si>
    <t xml:space="preserve">Intézményi ingatlanok különféle karbantartási kerete </t>
  </si>
  <si>
    <t>Útépítési tervek, műszaki ellenőrzés, eljárási díjak, engedélyek</t>
  </si>
  <si>
    <t>Csapadékvíz elvezetési tervek, műszaki ellenőrzés, eljárási díjak, engedélyek</t>
  </si>
  <si>
    <t>Hóeltakarítás opció</t>
  </si>
  <si>
    <t>Beruházások, felújítások műszaki ellenőrzése (műszaki iroda)</t>
  </si>
  <si>
    <t>A beruházásokhoz kapcsolódó EU támogatások és hitelek kockázati fedezete</t>
  </si>
  <si>
    <t>Építési beruházásokhoz tartaléka</t>
  </si>
  <si>
    <t>Útfenntartás rendkívüli kiadásai (útfenntartási opció)</t>
  </si>
  <si>
    <t>Városgazdálkodás: üzemeltetés, karbantartás biztonsági tartalék</t>
  </si>
  <si>
    <t>A 2022. évi maradvány terhére képzett tartalék</t>
  </si>
  <si>
    <t>Vis maior tartalék</t>
  </si>
  <si>
    <t xml:space="preserve">Normatíva felülvizsgálat tartalék </t>
  </si>
  <si>
    <t>Lakossági-közösségi igények tartaléka</t>
  </si>
  <si>
    <t>Képviselő-testület rendelkezése</t>
  </si>
  <si>
    <t>Polgármester rendelkezése</t>
  </si>
  <si>
    <t>Tavaszi Haraszti Napok ünnepsége (gyermeknap)</t>
  </si>
  <si>
    <t>Bezerédi Sportpark és játszótér fenntartása</t>
  </si>
  <si>
    <t>Nemzetközi kapcsolatok</t>
  </si>
  <si>
    <t>Elektromos autó töltőállomás</t>
  </si>
  <si>
    <t>"Várossá válás" szeptemberi ünnepsége</t>
  </si>
  <si>
    <t>Fásítási program</t>
  </si>
  <si>
    <t xml:space="preserve">Erdőállomány kezelés és fenntartás </t>
  </si>
  <si>
    <t>Szelektív hulladékgyűjtés és zöldhulladék gyűjtés</t>
  </si>
  <si>
    <t>Csapadékvíz-belvíz üzemeltetés; Kül- és belterületi nyílt ár- és belvízelvezető rendszer üzemeltetése;E-közműrendszer üzemeltetése</t>
  </si>
  <si>
    <t>Kiemelt állami és önkormányzati rendezvények</t>
  </si>
  <si>
    <t>Mentési pont</t>
  </si>
  <si>
    <t>Felhalmozási célú kölcsön nyújtása munkavállalónak ÖNK</t>
  </si>
  <si>
    <t>Pest Megyei Katasztrófavédelmi Igazgatóság eszközfejlesztési támogatása</t>
  </si>
  <si>
    <t>Szigetszentmiklósi Szakorvosi Rendelő eszközpark-korszerűsítés támogatása</t>
  </si>
  <si>
    <t>Dunaharaszti Önkéntes Tűzoltó Egyesület tűzoltóautó vásárlásának támogatása</t>
  </si>
  <si>
    <t>Felhalmozási célú kölcsön nyújtása munkavállalónak PMH</t>
  </si>
  <si>
    <t>DMTK támogatás</t>
  </si>
  <si>
    <t>VAGABOND Korzó támogatása</t>
  </si>
  <si>
    <t>Paradicsomsziget Egyesület támogatása</t>
  </si>
  <si>
    <t>Dunaharaszti Vöröskereszt szervezetének támogatása</t>
  </si>
  <si>
    <t>Bárka Alapítvány</t>
  </si>
  <si>
    <t>Beszélj Velem Alapítvány</t>
  </si>
  <si>
    <t>Péter Cerny Alapítvány</t>
  </si>
  <si>
    <t>Mályvavirág Központ (Alapítvány) támogatása</t>
  </si>
  <si>
    <t>Intézményfinanszírozás</t>
  </si>
  <si>
    <t>50.</t>
  </si>
  <si>
    <t>51.</t>
  </si>
  <si>
    <t>52.</t>
  </si>
  <si>
    <t>53.</t>
  </si>
  <si>
    <t>54.</t>
  </si>
  <si>
    <t>55.</t>
  </si>
  <si>
    <t>Tulajdonosi bevételek</t>
  </si>
  <si>
    <t>Díjak, pótlékok, bírságok, települési adók</t>
  </si>
  <si>
    <t>Immateriális javak, ingatlanok és egyéb tárgyi eszközök értékesítése</t>
  </si>
  <si>
    <t>Részesedések értékesítése és részesedések megszűnéséhez kapcsolódó bevételek</t>
  </si>
  <si>
    <t>Privatizációból származó bevételek</t>
  </si>
  <si>
    <t>Garancia- és kezességvállalásból származó megtérülések</t>
  </si>
  <si>
    <t>1. sor</t>
  </si>
  <si>
    <t>051 nem lakásc. Önk ing</t>
  </si>
  <si>
    <t>3. sor PMH B355 és B36</t>
  </si>
  <si>
    <t>119 egyéb adóbev Bírság pólék</t>
  </si>
  <si>
    <t>053 Laffert</t>
  </si>
  <si>
    <t>Összesen2015</t>
  </si>
  <si>
    <t>069 szennyv bérleti díj</t>
  </si>
  <si>
    <t>köv években Br 142840 nettó 112472000</t>
  </si>
  <si>
    <t>Mese</t>
  </si>
  <si>
    <t>előző évi hátralék Önk</t>
  </si>
  <si>
    <t>Hétszínvirág</t>
  </si>
  <si>
    <t>előző évi hátralék PMH</t>
  </si>
  <si>
    <t>080 Kőrösi</t>
  </si>
  <si>
    <t>Össesen</t>
  </si>
  <si>
    <t>081 BEG</t>
  </si>
  <si>
    <t>DPMV is benne van</t>
  </si>
  <si>
    <t>013 Ingatlan ért. + tárgyi eszk. 14. mell</t>
  </si>
  <si>
    <t xml:space="preserve">Dunaharaszti Város Önkormányzat 2022. évi működési, felhalmozási bevételeinek és kiadásainak mérlegszerű bemutatása </t>
  </si>
  <si>
    <t>2022.  évi költségvetés egyenlege (Költségvetési egyenleg + Finanszírozási egyenleg)</t>
  </si>
  <si>
    <t>2021. évig teljesült kiadások</t>
  </si>
  <si>
    <t>2026. évtől</t>
  </si>
  <si>
    <t>"Dunaharaszti Városi Bölcsőde fejlesztése (vizesblokk felújítása)" BMÖFT/1-6/2022</t>
  </si>
  <si>
    <t>Ebből pénzforglamilag teljesült 2022.12.31-ig</t>
  </si>
  <si>
    <t>Pénzforgalmi teljesítés
2022.12.31-ig</t>
  </si>
  <si>
    <t>Ebből pénzforgalmilag teljesült 2022.12.31-ig</t>
  </si>
  <si>
    <t>Dunaharaszti Városi Bölcsőde fejlesztése (vizesblokk felújítás)</t>
  </si>
  <si>
    <t>BMÖFT/1-6/2022.</t>
  </si>
  <si>
    <t>Építéssel járó célok bemutatása</t>
  </si>
  <si>
    <t xml:space="preserve"> Dunaharaszti Város Önkormányzatának "Kerékpáros közlekedés javítása Dunaharaszti Városában" beruházása</t>
  </si>
  <si>
    <t>TOP_PLUSZ-.1.21-21-PT1-2022-00013</t>
  </si>
  <si>
    <t>Támogatás intenzítása 100 %</t>
  </si>
  <si>
    <t>Kifizetés Dunaharaszti Város Önkormányzata részére</t>
  </si>
  <si>
    <t>Kifizetés a Magyar Közút NZrt. részére</t>
  </si>
  <si>
    <t>Dunaharaszti Város Önkormányzata által viselt költségek</t>
  </si>
  <si>
    <t>Kiviteli terv készítése</t>
  </si>
  <si>
    <t>Reziliencia vizsgálat</t>
  </si>
  <si>
    <t>Szemléletformálás</t>
  </si>
  <si>
    <t>Kivitelezési költség</t>
  </si>
  <si>
    <t>Tartalék</t>
  </si>
  <si>
    <t>Megalapozó dokumentum készítése</t>
  </si>
  <si>
    <t>Közbeszerzés</t>
  </si>
  <si>
    <t>Kerékpárforgalmi Hálózati Terv készítése</t>
  </si>
  <si>
    <t>Műszaki ellenőr költsége</t>
  </si>
  <si>
    <t>Projektmenedzsment</t>
  </si>
  <si>
    <t>Tájékoztatás és nyilvánosság</t>
  </si>
  <si>
    <t>Magyar Közút NZrt. által viselt költségek</t>
  </si>
  <si>
    <t>Műszaki Ellenőr</t>
  </si>
  <si>
    <t>Kulturális ágazatban közfeladatot ellátók 20%-os béremelése</t>
  </si>
  <si>
    <t>KBFT-E-22-0008 - Dunaharaszti Városi Könyvtár</t>
  </si>
  <si>
    <t>Elszámolható összköltség: 7 723 234 Ft</t>
  </si>
  <si>
    <t>Támogatás</t>
  </si>
  <si>
    <t>Fel nem használt összeg/Visszafizetési kötelezettség</t>
  </si>
  <si>
    <t>Járulék</t>
  </si>
  <si>
    <t>KBFT-E-22-0011 - Dunaharaszti József Attila Művelődési Ház</t>
  </si>
  <si>
    <t>Elszámolható összköltség: 8 841 120 Ft</t>
  </si>
  <si>
    <t>13.a - 13.d mellékletek, 1-10. tájékoztató táblák és 1-17. függelékek</t>
  </si>
  <si>
    <t>DMTK támogatása</t>
  </si>
  <si>
    <t>Terület előkészítés, földmérés és eljárási díjak</t>
  </si>
  <si>
    <t>„Intézményi ingatlanok különféle karbantartási kerete” tartalék - intézményi világítás korszerűsítés</t>
  </si>
  <si>
    <t>„Városgazdálkodás: üzemeltetés, karbantartás biztonsági tartalék”</t>
  </si>
  <si>
    <t xml:space="preserve">„2022. évi maradvány terhére képzett tartalék” </t>
  </si>
  <si>
    <t>Dunaharaszti Mese Óvoda hőközpont felújítása</t>
  </si>
  <si>
    <t>Dunaharaszti Család- és Gyermekjóléti  Szolgálat épület kazáncsere</t>
  </si>
  <si>
    <t>Dunaharaszti Hétszínvirág Óvoda épület kazáncsere</t>
  </si>
  <si>
    <t>Dunaharaszti Polgármesteri Hivatal épület kazáncsere</t>
  </si>
  <si>
    <t>Rendőrség-Rendészet épület kazáncsere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</si>
</sst>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Ft&quot;_-;\-* #,##0\ &quot;Ft&quot;_-;_-* &quot;-&quot;??\ &quot;Ft&quot;_-;_-@_-"/>
    <numFmt numFmtId="167" formatCode="_-* #,##0\ _F_t_-;\-* #,##0\ _F_t_-;_-* &quot;-&quot;??\ _F_t_-;_-@_-"/>
    <numFmt numFmtId="168" formatCode="_-* #,##0.0\ _F_t_-;\-* #,##0.0\ _F_t_-;_-* &quot;-&quot;??\ _F_t_-;_-@_-"/>
    <numFmt numFmtId="169" formatCode="#,##0\ &quot;Ft&quot;"/>
    <numFmt numFmtId="170" formatCode="_-* #,##0.000\ &quot;Ft&quot;_-;\-* #,##0.000\ &quot;Ft&quot;_-;_-* &quot;-&quot;??\ &quot;Ft&quot;_-;_-@_-"/>
    <numFmt numFmtId="171" formatCode="_-* #,##0.0\ &quot;Ft&quot;_-;\-* #,##0.0\ &quot;Ft&quot;_-;_-* &quot;-&quot;??\ &quot;Ft&quot;_-;_-@_-"/>
    <numFmt numFmtId="172" formatCode="_-* #,##0\ &quot;Ft&quot;_-;\-* #,##0\ &quot;Ft&quot;_-;_-* &quot;-&quot;???\ &quot;Ft&quot;_-;_-@_-"/>
    <numFmt numFmtId="173" formatCode="#,###__"/>
    <numFmt numFmtId="174" formatCode="#,##0_ ;\-#,##0\ "/>
    <numFmt numFmtId="175" formatCode="_-* #,##0\ _F_t_-;\-* #,##0\ _F_t_-;_-* \-??\ _F_t_-;_-@_-"/>
    <numFmt numFmtId="176" formatCode="#,###"/>
    <numFmt numFmtId="177" formatCode="#,##0\ _F_t"/>
    <numFmt numFmtId="178" formatCode="_-* #,##0_-;\-* #,##0_-;_-* &quot;-&quot;??_-;_-@_-"/>
    <numFmt numFmtId="179" formatCode="0.00000000%"/>
  </numFmts>
  <fonts count="1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indexed="8"/>
      <name val="Garamond"/>
      <family val="1"/>
      <charset val="238"/>
    </font>
    <font>
      <b/>
      <sz val="18"/>
      <color indexed="8"/>
      <name val="Garamond"/>
      <family val="1"/>
      <charset val="238"/>
    </font>
    <font>
      <sz val="15"/>
      <color indexed="8"/>
      <name val="Garamond"/>
      <family val="1"/>
      <charset val="238"/>
    </font>
    <font>
      <b/>
      <sz val="16"/>
      <color indexed="8"/>
      <name val="Garamond"/>
      <family val="1"/>
      <charset val="238"/>
    </font>
    <font>
      <sz val="18"/>
      <color indexed="8"/>
      <name val="Garamond"/>
      <family val="1"/>
      <charset val="238"/>
    </font>
    <font>
      <b/>
      <i/>
      <sz val="14"/>
      <color indexed="8"/>
      <name val="Garamond"/>
      <family val="1"/>
      <charset val="238"/>
    </font>
    <font>
      <b/>
      <i/>
      <sz val="18"/>
      <color indexed="8"/>
      <name val="Garamond"/>
      <family val="1"/>
      <charset val="238"/>
    </font>
    <font>
      <i/>
      <sz val="18"/>
      <color indexed="8"/>
      <name val="Garamond"/>
      <family val="1"/>
      <charset val="238"/>
    </font>
    <font>
      <b/>
      <i/>
      <sz val="15"/>
      <color indexed="8"/>
      <name val="Garamond"/>
      <family val="1"/>
      <charset val="238"/>
    </font>
    <font>
      <b/>
      <i/>
      <sz val="16"/>
      <color indexed="8"/>
      <name val="Garamond"/>
      <family val="1"/>
      <charset val="238"/>
    </font>
    <font>
      <b/>
      <sz val="14"/>
      <color indexed="8"/>
      <name val="Garamond"/>
      <family val="1"/>
      <charset val="238"/>
    </font>
    <font>
      <b/>
      <sz val="15"/>
      <color indexed="8"/>
      <name val="Garamond"/>
      <family val="1"/>
      <charset val="238"/>
    </font>
    <font>
      <i/>
      <sz val="15"/>
      <color indexed="8"/>
      <name val="Garamond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20"/>
      <color theme="1"/>
      <name val="Garamond"/>
      <family val="1"/>
      <charset val="238"/>
    </font>
    <font>
      <sz val="18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i/>
      <sz val="18"/>
      <color theme="1"/>
      <name val="Garamond"/>
      <family val="1"/>
      <charset val="238"/>
    </font>
    <font>
      <b/>
      <sz val="18"/>
      <name val="Garamond"/>
      <family val="1"/>
      <charset val="238"/>
    </font>
    <font>
      <sz val="18"/>
      <name val="Garamond"/>
      <family val="1"/>
      <charset val="238"/>
    </font>
    <font>
      <i/>
      <sz val="18"/>
      <name val="Garamond"/>
      <family val="1"/>
      <charset val="238"/>
    </font>
    <font>
      <sz val="14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4"/>
      <name val="Garamond"/>
      <family val="1"/>
      <charset val="238"/>
    </font>
    <font>
      <b/>
      <u/>
      <sz val="12"/>
      <name val="Garamond"/>
      <family val="1"/>
      <charset val="238"/>
    </font>
    <font>
      <b/>
      <sz val="12"/>
      <color indexed="10"/>
      <name val="Garamond"/>
      <family val="1"/>
      <charset val="238"/>
    </font>
    <font>
      <sz val="12"/>
      <color indexed="10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7"/>
      <name val="Arial CE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b/>
      <sz val="13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3"/>
      <name val="Garamond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sz val="15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i/>
      <sz val="12"/>
      <color theme="1"/>
      <name val="Garamond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sz val="16"/>
      <color theme="1"/>
      <name val="Garamond"/>
      <family val="1"/>
      <charset val="238"/>
    </font>
    <font>
      <b/>
      <i/>
      <sz val="14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b/>
      <i/>
      <sz val="10"/>
      <name val="Times New Roman CE"/>
      <family val="1"/>
      <charset val="238"/>
    </font>
    <font>
      <b/>
      <sz val="11"/>
      <color indexed="8"/>
      <name val="Garamond"/>
      <family val="1"/>
      <charset val="238"/>
    </font>
    <font>
      <b/>
      <sz val="11"/>
      <color indexed="10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u/>
      <sz val="11"/>
      <name val="Garamond"/>
      <family val="1"/>
      <charset val="238"/>
    </font>
    <font>
      <b/>
      <sz val="1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2"/>
      <name val="Garamond"/>
      <family val="1"/>
      <charset val="238"/>
    </font>
    <font>
      <sz val="14"/>
      <name val="Garamond"/>
      <family val="1"/>
      <charset val="238"/>
    </font>
    <font>
      <sz val="11"/>
      <color theme="1"/>
      <name val="Calibri"/>
      <family val="2"/>
      <scheme val="minor"/>
    </font>
    <font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</font>
    <font>
      <b/>
      <sz val="10"/>
      <color indexed="8"/>
      <name val="Calibri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rgb="FFFF0000"/>
      <name val="Garamond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2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2" applyNumberFormat="0" applyAlignment="0" applyProtection="0"/>
    <xf numFmtId="0" fontId="20" fillId="21" borderId="13" applyNumberFormat="0" applyAlignment="0" applyProtection="0"/>
    <xf numFmtId="0" fontId="21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3" fillId="0" borderId="0" applyFont="0" applyFill="0" applyAlignment="0" applyProtection="0"/>
    <xf numFmtId="167" fontId="23" fillId="0" borderId="0" applyFont="0" applyFill="0" applyAlignment="0" applyProtection="0"/>
    <xf numFmtId="168" fontId="23" fillId="0" borderId="0" applyFont="0" applyFill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5" fillId="0" borderId="0" applyFill="0" applyBorder="0" applyAlignment="0" applyProtection="0"/>
    <xf numFmtId="165" fontId="1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2" applyNumberFormat="0" applyAlignment="0" applyProtection="0"/>
    <xf numFmtId="0" fontId="31" fillId="0" borderId="17" applyNumberFormat="0" applyFill="0" applyAlignment="0" applyProtection="0"/>
    <xf numFmtId="0" fontId="32" fillId="22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0" fontId="16" fillId="0" borderId="0"/>
    <xf numFmtId="0" fontId="24" fillId="0" borderId="0"/>
    <xf numFmtId="0" fontId="22" fillId="0" borderId="0"/>
    <xf numFmtId="0" fontId="25" fillId="0" borderId="0"/>
    <xf numFmtId="0" fontId="25" fillId="0" borderId="0"/>
    <xf numFmtId="0" fontId="24" fillId="23" borderId="18" applyNumberFormat="0" applyFont="0" applyAlignment="0" applyProtection="0"/>
    <xf numFmtId="0" fontId="33" fillId="20" borderId="19" applyNumberFormat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55" fillId="0" borderId="0"/>
    <xf numFmtId="0" fontId="23" fillId="0" borderId="0"/>
    <xf numFmtId="9" fontId="16" fillId="0" borderId="0" applyFont="0" applyFill="0" applyBorder="0" applyAlignment="0" applyProtection="0"/>
    <xf numFmtId="0" fontId="24" fillId="0" borderId="0"/>
    <xf numFmtId="0" fontId="24" fillId="0" borderId="0"/>
    <xf numFmtId="0" fontId="80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5" fontId="16" fillId="0" borderId="0" applyFont="0" applyFill="0" applyBorder="0" applyAlignment="0" applyProtection="0"/>
    <xf numFmtId="0" fontId="24" fillId="0" borderId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20" borderId="136" applyNumberFormat="0" applyAlignment="0" applyProtection="0"/>
    <xf numFmtId="165" fontId="23" fillId="0" borderId="0" applyFont="0" applyFill="0" applyBorder="0" applyAlignment="0" applyProtection="0"/>
    <xf numFmtId="175" fontId="25" fillId="0" borderId="0" applyFill="0" applyAlignment="0" applyProtection="0"/>
    <xf numFmtId="4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0" fillId="7" borderId="136" applyNumberFormat="0" applyAlignment="0" applyProtection="0"/>
    <xf numFmtId="0" fontId="25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30" fillId="0" borderId="0"/>
    <xf numFmtId="0" fontId="80" fillId="0" borderId="0"/>
    <xf numFmtId="0" fontId="24" fillId="23" borderId="137" applyNumberFormat="0" applyFont="0" applyAlignment="0" applyProtection="0"/>
    <xf numFmtId="0" fontId="24" fillId="23" borderId="137" applyNumberFormat="0" applyFont="0" applyAlignment="0" applyProtection="0"/>
    <xf numFmtId="0" fontId="33" fillId="20" borderId="138" applyNumberFormat="0" applyAlignment="0" applyProtection="0"/>
    <xf numFmtId="44" fontId="2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ill="0" applyBorder="0" applyAlignment="0" applyProtection="0"/>
    <xf numFmtId="9" fontId="16" fillId="0" borderId="0" applyFont="0" applyFill="0" applyBorder="0" applyAlignment="0" applyProtection="0"/>
    <xf numFmtId="0" fontId="35" fillId="0" borderId="139" applyNumberFormat="0" applyFill="0" applyAlignment="0" applyProtection="0"/>
    <xf numFmtId="0" fontId="23" fillId="0" borderId="0"/>
    <xf numFmtId="9" fontId="1" fillId="0" borderId="0" applyFont="0" applyFill="0" applyBorder="0" applyAlignment="0" applyProtection="0"/>
  </cellStyleXfs>
  <cellXfs count="1118">
    <xf numFmtId="0" fontId="0" fillId="0" borderId="0" xfId="0"/>
    <xf numFmtId="0" fontId="7" fillId="0" borderId="0" xfId="0" applyFont="1"/>
    <xf numFmtId="0" fontId="7" fillId="0" borderId="5" xfId="0" applyFont="1" applyBorder="1" applyAlignment="1">
      <alignment horizontal="center"/>
    </xf>
    <xf numFmtId="166" fontId="4" fillId="0" borderId="6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4" fillId="0" borderId="5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166" fontId="9" fillId="0" borderId="6" xfId="2" applyNumberFormat="1" applyFont="1" applyFill="1" applyBorder="1" applyAlignment="1">
      <alignment horizontal="center" vertical="center"/>
    </xf>
    <xf numFmtId="0" fontId="38" fillId="0" borderId="0" xfId="0" applyFont="1"/>
    <xf numFmtId="166" fontId="38" fillId="0" borderId="0" xfId="0" applyNumberFormat="1" applyFont="1"/>
    <xf numFmtId="0" fontId="37" fillId="0" borderId="0" xfId="0" applyFont="1"/>
    <xf numFmtId="167" fontId="2" fillId="0" borderId="0" xfId="1" applyNumberFormat="1" applyFont="1" applyFill="1"/>
    <xf numFmtId="0" fontId="39" fillId="0" borderId="0" xfId="0" applyFont="1"/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center" vertical="center"/>
    </xf>
    <xf numFmtId="166" fontId="4" fillId="0" borderId="0" xfId="2" applyNumberFormat="1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/>
    <xf numFmtId="0" fontId="42" fillId="0" borderId="0" xfId="0" applyFont="1"/>
    <xf numFmtId="166" fontId="41" fillId="0" borderId="0" xfId="0" applyNumberFormat="1" applyFont="1"/>
    <xf numFmtId="0" fontId="45" fillId="0" borderId="1" xfId="0" applyFont="1" applyBorder="1" applyAlignment="1">
      <alignment horizontal="left" vertical="center" wrapText="1"/>
    </xf>
    <xf numFmtId="169" fontId="41" fillId="0" borderId="0" xfId="0" applyNumberFormat="1" applyFont="1"/>
    <xf numFmtId="0" fontId="46" fillId="0" borderId="21" xfId="0" applyFont="1" applyBorder="1" applyAlignment="1">
      <alignment vertical="center" wrapText="1"/>
    </xf>
    <xf numFmtId="0" fontId="41" fillId="0" borderId="1" xfId="0" applyFont="1" applyBorder="1"/>
    <xf numFmtId="172" fontId="41" fillId="0" borderId="0" xfId="0" applyNumberFormat="1" applyFont="1"/>
    <xf numFmtId="166" fontId="2" fillId="0" borderId="0" xfId="0" applyNumberFormat="1" applyFont="1"/>
    <xf numFmtId="0" fontId="52" fillId="0" borderId="0" xfId="67" applyFont="1"/>
    <xf numFmtId="0" fontId="56" fillId="0" borderId="0" xfId="67" applyFont="1"/>
    <xf numFmtId="0" fontId="59" fillId="0" borderId="0" xfId="67" applyFont="1"/>
    <xf numFmtId="167" fontId="59" fillId="0" borderId="0" xfId="32" applyNumberFormat="1" applyFont="1"/>
    <xf numFmtId="167" fontId="59" fillId="0" borderId="0" xfId="32" applyNumberFormat="1" applyFont="1" applyAlignment="1">
      <alignment horizontal="center"/>
    </xf>
    <xf numFmtId="14" fontId="56" fillId="0" borderId="0" xfId="67" applyNumberFormat="1" applyFont="1" applyAlignment="1">
      <alignment horizontal="center"/>
    </xf>
    <xf numFmtId="0" fontId="56" fillId="0" borderId="0" xfId="68" applyFont="1" applyAlignment="1">
      <alignment horizontal="center" vertical="center"/>
    </xf>
    <xf numFmtId="167" fontId="56" fillId="0" borderId="0" xfId="32" applyNumberFormat="1" applyFont="1" applyFill="1" applyBorder="1" applyAlignment="1">
      <alignment horizontal="center" vertical="center"/>
    </xf>
    <xf numFmtId="167" fontId="56" fillId="0" borderId="0" xfId="32" applyNumberFormat="1" applyFont="1" applyBorder="1"/>
    <xf numFmtId="167" fontId="56" fillId="0" borderId="0" xfId="32" applyNumberFormat="1" applyFont="1" applyBorder="1" applyAlignment="1">
      <alignment horizontal="center"/>
    </xf>
    <xf numFmtId="167" fontId="61" fillId="0" borderId="0" xfId="32" applyNumberFormat="1" applyFont="1" applyFill="1" applyBorder="1" applyAlignment="1">
      <alignment horizontal="center"/>
    </xf>
    <xf numFmtId="167" fontId="56" fillId="0" borderId="0" xfId="32" applyNumberFormat="1" applyFont="1" applyFill="1" applyBorder="1"/>
    <xf numFmtId="167" fontId="52" fillId="0" borderId="0" xfId="32" applyNumberFormat="1" applyFont="1"/>
    <xf numFmtId="167" fontId="52" fillId="0" borderId="0" xfId="32" applyNumberFormat="1" applyFont="1" applyAlignment="1">
      <alignment horizontal="center"/>
    </xf>
    <xf numFmtId="14" fontId="52" fillId="0" borderId="0" xfId="67" applyNumberFormat="1" applyFont="1" applyAlignment="1">
      <alignment horizontal="center"/>
    </xf>
    <xf numFmtId="166" fontId="66" fillId="0" borderId="1" xfId="59" applyNumberFormat="1" applyFont="1" applyFill="1" applyBorder="1" applyAlignment="1">
      <alignment horizontal="center" vertical="center"/>
    </xf>
    <xf numFmtId="166" fontId="69" fillId="0" borderId="1" xfId="59" applyNumberFormat="1" applyFont="1" applyFill="1" applyBorder="1" applyAlignment="1">
      <alignment horizontal="center" vertical="center"/>
    </xf>
    <xf numFmtId="166" fontId="66" fillId="0" borderId="0" xfId="59" applyNumberFormat="1" applyFont="1" applyFill="1" applyBorder="1" applyAlignment="1">
      <alignment horizontal="center" vertical="center"/>
    </xf>
    <xf numFmtId="0" fontId="74" fillId="26" borderId="28" xfId="49" applyFont="1" applyFill="1" applyBorder="1" applyAlignment="1">
      <alignment horizontal="center" vertical="center" wrapText="1"/>
    </xf>
    <xf numFmtId="166" fontId="75" fillId="27" borderId="29" xfId="59" applyNumberFormat="1" applyFont="1" applyFill="1" applyBorder="1" applyAlignment="1">
      <alignment vertical="center"/>
    </xf>
    <xf numFmtId="166" fontId="75" fillId="27" borderId="29" xfId="59" applyNumberFormat="1" applyFont="1" applyFill="1" applyBorder="1" applyAlignment="1">
      <alignment horizontal="center" vertical="center"/>
    </xf>
    <xf numFmtId="166" fontId="76" fillId="0" borderId="0" xfId="59" applyNumberFormat="1" applyFont="1" applyFill="1" applyBorder="1" applyAlignment="1">
      <alignment vertical="center" wrapText="1"/>
    </xf>
    <xf numFmtId="0" fontId="0" fillId="28" borderId="0" xfId="0" applyFill="1"/>
    <xf numFmtId="0" fontId="24" fillId="0" borderId="0" xfId="71"/>
    <xf numFmtId="0" fontId="0" fillId="0" borderId="0" xfId="0" applyAlignment="1">
      <alignment horizontal="center" vertical="center"/>
    </xf>
    <xf numFmtId="0" fontId="24" fillId="0" borderId="0" xfId="75"/>
    <xf numFmtId="0" fontId="45" fillId="0" borderId="0" xfId="0" applyFont="1"/>
    <xf numFmtId="172" fontId="45" fillId="0" borderId="0" xfId="0" applyNumberFormat="1" applyFont="1"/>
    <xf numFmtId="0" fontId="99" fillId="0" borderId="0" xfId="0" applyFont="1"/>
    <xf numFmtId="0" fontId="44" fillId="0" borderId="1" xfId="0" applyFont="1" applyBorder="1" applyAlignment="1">
      <alignment horizontal="center" vertical="center" wrapText="1"/>
    </xf>
    <xf numFmtId="42" fontId="56" fillId="0" borderId="0" xfId="32" applyNumberFormat="1" applyFont="1" applyFill="1" applyBorder="1" applyAlignment="1">
      <alignment horizontal="center"/>
    </xf>
    <xf numFmtId="166" fontId="76" fillId="0" borderId="1" xfId="2" applyNumberFormat="1" applyFont="1" applyFill="1" applyBorder="1" applyAlignment="1">
      <alignment horizontal="center" vertical="center"/>
    </xf>
    <xf numFmtId="166" fontId="9" fillId="28" borderId="11" xfId="2" applyNumberFormat="1" applyFont="1" applyFill="1" applyBorder="1" applyAlignment="1">
      <alignment horizontal="center" vertical="center"/>
    </xf>
    <xf numFmtId="166" fontId="4" fillId="28" borderId="0" xfId="2" applyNumberFormat="1" applyFont="1" applyFill="1" applyBorder="1" applyAlignment="1">
      <alignment horizontal="center" vertical="center"/>
    </xf>
    <xf numFmtId="0" fontId="41" fillId="30" borderId="0" xfId="0" applyFont="1" applyFill="1"/>
    <xf numFmtId="0" fontId="42" fillId="30" borderId="0" xfId="0" applyFont="1" applyFill="1"/>
    <xf numFmtId="0" fontId="45" fillId="30" borderId="0" xfId="0" applyFont="1" applyFill="1"/>
    <xf numFmtId="0" fontId="0" fillId="30" borderId="0" xfId="0" applyFill="1"/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8" fillId="28" borderId="0" xfId="0" applyFont="1" applyFill="1"/>
    <xf numFmtId="0" fontId="49" fillId="28" borderId="1" xfId="0" applyFont="1" applyFill="1" applyBorder="1" applyAlignment="1">
      <alignment horizontal="center" vertical="center" wrapText="1"/>
    </xf>
    <xf numFmtId="166" fontId="49" fillId="28" borderId="1" xfId="2" applyNumberFormat="1" applyFont="1" applyFill="1" applyBorder="1" applyAlignment="1">
      <alignment horizontal="center" vertical="center" wrapText="1"/>
    </xf>
    <xf numFmtId="166" fontId="0" fillId="28" borderId="0" xfId="0" applyNumberFormat="1" applyFill="1"/>
    <xf numFmtId="166" fontId="0" fillId="28" borderId="0" xfId="2" applyNumberFormat="1" applyFont="1" applyFill="1"/>
    <xf numFmtId="0" fontId="53" fillId="0" borderId="0" xfId="0" applyFont="1"/>
    <xf numFmtId="0" fontId="48" fillId="0" borderId="0" xfId="0" applyFont="1"/>
    <xf numFmtId="0" fontId="99" fillId="28" borderId="0" xfId="0" applyFont="1" applyFill="1"/>
    <xf numFmtId="0" fontId="42" fillId="0" borderId="5" xfId="0" applyFont="1" applyBorder="1" applyAlignment="1">
      <alignment horizontal="center"/>
    </xf>
    <xf numFmtId="0" fontId="106" fillId="25" borderId="0" xfId="49" applyFont="1" applyFill="1" applyAlignment="1">
      <alignment vertical="center" wrapText="1"/>
    </xf>
    <xf numFmtId="0" fontId="94" fillId="0" borderId="0" xfId="49" applyFont="1" applyAlignment="1">
      <alignment wrapText="1"/>
    </xf>
    <xf numFmtId="0" fontId="95" fillId="0" borderId="0" xfId="49" applyFont="1" applyAlignment="1">
      <alignment horizontal="center" vertical="center" wrapText="1"/>
    </xf>
    <xf numFmtId="0" fontId="94" fillId="0" borderId="26" xfId="49" applyFont="1" applyBorder="1" applyAlignment="1">
      <alignment wrapText="1"/>
    </xf>
    <xf numFmtId="0" fontId="94" fillId="0" borderId="26" xfId="49" applyFont="1" applyBorder="1" applyAlignment="1">
      <alignment horizontal="right" wrapText="1"/>
    </xf>
    <xf numFmtId="0" fontId="106" fillId="0" borderId="8" xfId="49" applyFont="1" applyBorder="1" applyAlignment="1">
      <alignment horizontal="center" vertical="center" wrapText="1"/>
    </xf>
    <xf numFmtId="0" fontId="106" fillId="0" borderId="24" xfId="49" applyFont="1" applyBorder="1" applyAlignment="1">
      <alignment horizontal="center" vertical="center" wrapText="1"/>
    </xf>
    <xf numFmtId="0" fontId="95" fillId="0" borderId="1" xfId="49" applyFont="1" applyBorder="1" applyAlignment="1">
      <alignment horizontal="center" vertical="center" wrapText="1"/>
    </xf>
    <xf numFmtId="0" fontId="95" fillId="0" borderId="24" xfId="49" applyFont="1" applyBorder="1" applyAlignment="1">
      <alignment horizontal="center" vertical="center" wrapText="1"/>
    </xf>
    <xf numFmtId="0" fontId="94" fillId="0" borderId="1" xfId="49" applyFont="1" applyBorder="1" applyAlignment="1">
      <alignment horizontal="center" vertical="center" wrapText="1"/>
    </xf>
    <xf numFmtId="0" fontId="53" fillId="25" borderId="1" xfId="49" applyFont="1" applyFill="1" applyBorder="1" applyAlignment="1">
      <alignment horizontal="left" vertical="center" wrapText="1"/>
    </xf>
    <xf numFmtId="0" fontId="96" fillId="25" borderId="1" xfId="49" applyFont="1" applyFill="1" applyBorder="1" applyAlignment="1">
      <alignment horizontal="left" vertical="center" wrapText="1"/>
    </xf>
    <xf numFmtId="167" fontId="53" fillId="25" borderId="1" xfId="1" applyNumberFormat="1" applyFont="1" applyFill="1" applyBorder="1" applyAlignment="1">
      <alignment horizontal="right" vertical="center" wrapText="1"/>
    </xf>
    <xf numFmtId="167" fontId="53" fillId="0" borderId="1" xfId="1" applyNumberFormat="1" applyFont="1" applyBorder="1" applyAlignment="1">
      <alignment horizontal="right" vertical="center" wrapText="1"/>
    </xf>
    <xf numFmtId="3" fontId="53" fillId="0" borderId="24" xfId="49" applyNumberFormat="1" applyFont="1" applyBorder="1" applyAlignment="1">
      <alignment vertical="center" wrapText="1"/>
    </xf>
    <xf numFmtId="0" fontId="53" fillId="25" borderId="1" xfId="49" applyFont="1" applyFill="1" applyBorder="1" applyAlignment="1">
      <alignment vertical="center" wrapText="1"/>
    </xf>
    <xf numFmtId="0" fontId="96" fillId="25" borderId="1" xfId="49" applyFont="1" applyFill="1" applyBorder="1" applyAlignment="1">
      <alignment vertical="center" wrapText="1"/>
    </xf>
    <xf numFmtId="167" fontId="96" fillId="25" borderId="1" xfId="1" applyNumberFormat="1" applyFont="1" applyFill="1" applyBorder="1" applyAlignment="1">
      <alignment horizontal="right" vertical="center" wrapText="1"/>
    </xf>
    <xf numFmtId="3" fontId="96" fillId="0" borderId="24" xfId="49" applyNumberFormat="1" applyFont="1" applyBorder="1" applyAlignment="1">
      <alignment vertical="center" wrapText="1"/>
    </xf>
    <xf numFmtId="0" fontId="95" fillId="0" borderId="0" xfId="49" applyFont="1" applyAlignment="1">
      <alignment wrapText="1"/>
    </xf>
    <xf numFmtId="0" fontId="53" fillId="25" borderId="1" xfId="73" applyFont="1" applyFill="1" applyBorder="1" applyAlignment="1">
      <alignment horizontal="left" vertical="center" wrapText="1"/>
    </xf>
    <xf numFmtId="0" fontId="108" fillId="25" borderId="1" xfId="73" applyFont="1" applyFill="1" applyBorder="1" applyAlignment="1">
      <alignment horizontal="left" vertical="center" wrapText="1"/>
    </xf>
    <xf numFmtId="167" fontId="109" fillId="25" borderId="1" xfId="1" applyNumberFormat="1" applyFont="1" applyFill="1" applyBorder="1" applyAlignment="1">
      <alignment horizontal="right" vertical="center" wrapText="1"/>
    </xf>
    <xf numFmtId="0" fontId="108" fillId="25" borderId="1" xfId="49" applyFont="1" applyFill="1" applyBorder="1" applyAlignment="1">
      <alignment horizontal="left" vertical="center" wrapText="1"/>
    </xf>
    <xf numFmtId="0" fontId="96" fillId="29" borderId="1" xfId="49" applyFont="1" applyFill="1" applyBorder="1" applyAlignment="1">
      <alignment horizontal="left" vertical="center" wrapText="1"/>
    </xf>
    <xf numFmtId="0" fontId="96" fillId="24" borderId="1" xfId="49" applyFont="1" applyFill="1" applyBorder="1" applyAlignment="1">
      <alignment horizontal="left" wrapText="1"/>
    </xf>
    <xf numFmtId="167" fontId="96" fillId="24" borderId="1" xfId="1" applyNumberFormat="1" applyFont="1" applyFill="1" applyBorder="1" applyAlignment="1">
      <alignment horizontal="right" wrapText="1"/>
    </xf>
    <xf numFmtId="3" fontId="96" fillId="0" borderId="9" xfId="49" applyNumberFormat="1" applyFont="1" applyBorder="1" applyAlignment="1">
      <alignment vertical="center" wrapText="1"/>
    </xf>
    <xf numFmtId="0" fontId="96" fillId="24" borderId="1" xfId="49" applyFont="1" applyFill="1" applyBorder="1" applyAlignment="1">
      <alignment horizontal="left" vertical="center" wrapText="1"/>
    </xf>
    <xf numFmtId="167" fontId="96" fillId="24" borderId="1" xfId="1" applyNumberFormat="1" applyFont="1" applyFill="1" applyBorder="1" applyAlignment="1">
      <alignment horizontal="right" vertical="center" wrapText="1"/>
    </xf>
    <xf numFmtId="167" fontId="53" fillId="0" borderId="0" xfId="49" applyNumberFormat="1" applyFont="1" applyAlignment="1">
      <alignment horizontal="right" vertical="center"/>
    </xf>
    <xf numFmtId="0" fontId="53" fillId="0" borderId="0" xfId="49" applyFont="1" applyAlignment="1">
      <alignment horizontal="right" vertical="center"/>
    </xf>
    <xf numFmtId="167" fontId="96" fillId="0" borderId="0" xfId="49" applyNumberFormat="1" applyFont="1" applyAlignment="1">
      <alignment horizontal="right" vertical="center"/>
    </xf>
    <xf numFmtId="0" fontId="96" fillId="0" borderId="0" xfId="49" applyFont="1" applyAlignment="1">
      <alignment horizontal="right" vertical="center"/>
    </xf>
    <xf numFmtId="0" fontId="53" fillId="0" borderId="0" xfId="49" applyFont="1" applyAlignment="1">
      <alignment horizontal="right" vertical="center" wrapText="1"/>
    </xf>
    <xf numFmtId="0" fontId="95" fillId="0" borderId="0" xfId="49" applyFont="1" applyAlignment="1">
      <alignment horizontal="center" wrapText="1"/>
    </xf>
    <xf numFmtId="167" fontId="94" fillId="0" borderId="0" xfId="49" applyNumberFormat="1" applyFont="1" applyAlignment="1">
      <alignment wrapText="1"/>
    </xf>
    <xf numFmtId="0" fontId="67" fillId="0" borderId="0" xfId="49" applyFont="1"/>
    <xf numFmtId="166" fontId="44" fillId="0" borderId="47" xfId="2" applyNumberFormat="1" applyFont="1" applyFill="1" applyBorder="1" applyAlignment="1">
      <alignment horizontal="center" vertical="center" wrapText="1"/>
    </xf>
    <xf numFmtId="166" fontId="45" fillId="0" borderId="47" xfId="2" applyNumberFormat="1" applyFont="1" applyFill="1" applyBorder="1" applyAlignment="1">
      <alignment horizontal="center" vertical="center" wrapText="1"/>
    </xf>
    <xf numFmtId="169" fontId="45" fillId="0" borderId="47" xfId="0" applyNumberFormat="1" applyFont="1" applyBorder="1" applyAlignment="1">
      <alignment wrapText="1"/>
    </xf>
    <xf numFmtId="166" fontId="45" fillId="0" borderId="47" xfId="2" applyNumberFormat="1" applyFont="1" applyFill="1" applyBorder="1" applyAlignment="1">
      <alignment vertical="center" wrapText="1"/>
    </xf>
    <xf numFmtId="166" fontId="44" fillId="0" borderId="32" xfId="2" applyNumberFormat="1" applyFont="1" applyFill="1" applyBorder="1" applyAlignment="1">
      <alignment horizontal="center" vertical="center" wrapText="1"/>
    </xf>
    <xf numFmtId="166" fontId="44" fillId="0" borderId="46" xfId="2" applyNumberFormat="1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left" vertical="center" wrapText="1"/>
    </xf>
    <xf numFmtId="166" fontId="45" fillId="0" borderId="46" xfId="2" applyNumberFormat="1" applyFont="1" applyFill="1" applyBorder="1" applyAlignment="1">
      <alignment horizontal="center" vertical="center" wrapText="1"/>
    </xf>
    <xf numFmtId="0" fontId="41" fillId="0" borderId="46" xfId="0" applyFont="1" applyBorder="1"/>
    <xf numFmtId="166" fontId="46" fillId="0" borderId="46" xfId="2" applyNumberFormat="1" applyFont="1" applyFill="1" applyBorder="1" applyAlignment="1">
      <alignment vertical="center" wrapText="1"/>
    </xf>
    <xf numFmtId="170" fontId="46" fillId="0" borderId="46" xfId="2" applyNumberFormat="1" applyFont="1" applyFill="1" applyBorder="1" applyAlignment="1">
      <alignment vertical="center" wrapText="1"/>
    </xf>
    <xf numFmtId="171" fontId="46" fillId="0" borderId="46" xfId="2" applyNumberFormat="1" applyFont="1" applyFill="1" applyBorder="1" applyAlignment="1">
      <alignment vertical="center" wrapText="1"/>
    </xf>
    <xf numFmtId="166" fontId="41" fillId="0" borderId="46" xfId="2" applyNumberFormat="1" applyFont="1" applyFill="1" applyBorder="1"/>
    <xf numFmtId="166" fontId="41" fillId="0" borderId="46" xfId="2" applyNumberFormat="1" applyFont="1" applyFill="1" applyBorder="1" applyAlignment="1">
      <alignment horizontal="center" vertical="center" wrapText="1"/>
    </xf>
    <xf numFmtId="0" fontId="41" fillId="0" borderId="51" xfId="0" applyFont="1" applyBorder="1"/>
    <xf numFmtId="0" fontId="41" fillId="0" borderId="50" xfId="0" applyFont="1" applyBorder="1"/>
    <xf numFmtId="0" fontId="46" fillId="0" borderId="46" xfId="0" applyFont="1" applyBorder="1" applyAlignment="1">
      <alignment vertical="center" wrapText="1"/>
    </xf>
    <xf numFmtId="0" fontId="41" fillId="0" borderId="9" xfId="0" applyFont="1" applyBorder="1"/>
    <xf numFmtId="0" fontId="41" fillId="0" borderId="47" xfId="0" applyFont="1" applyBorder="1"/>
    <xf numFmtId="0" fontId="46" fillId="0" borderId="49" xfId="0" applyFont="1" applyBorder="1" applyAlignment="1">
      <alignment horizontal="left" vertical="center" wrapText="1"/>
    </xf>
    <xf numFmtId="0" fontId="41" fillId="30" borderId="25" xfId="0" applyFont="1" applyFill="1" applyBorder="1"/>
    <xf numFmtId="0" fontId="45" fillId="30" borderId="25" xfId="0" applyFont="1" applyFill="1" applyBorder="1"/>
    <xf numFmtId="166" fontId="49" fillId="28" borderId="47" xfId="2" applyNumberFormat="1" applyFont="1" applyFill="1" applyBorder="1" applyAlignment="1">
      <alignment horizontal="center" vertical="center" wrapText="1"/>
    </xf>
    <xf numFmtId="166" fontId="48" fillId="28" borderId="54" xfId="0" applyNumberFormat="1" applyFont="1" applyFill="1" applyBorder="1"/>
    <xf numFmtId="0" fontId="48" fillId="28" borderId="25" xfId="0" applyFont="1" applyFill="1" applyBorder="1"/>
    <xf numFmtId="0" fontId="48" fillId="28" borderId="53" xfId="0" applyFont="1" applyFill="1" applyBorder="1"/>
    <xf numFmtId="0" fontId="41" fillId="0" borderId="1" xfId="0" applyFont="1" applyBorder="1" applyAlignment="1">
      <alignment vertical="center"/>
    </xf>
    <xf numFmtId="166" fontId="45" fillId="0" borderId="47" xfId="2" applyNumberFormat="1" applyFont="1" applyFill="1" applyBorder="1" applyAlignment="1">
      <alignment vertical="center"/>
    </xf>
    <xf numFmtId="166" fontId="45" fillId="0" borderId="48" xfId="2" applyNumberFormat="1" applyFont="1" applyFill="1" applyBorder="1" applyAlignment="1">
      <alignment horizontal="center" vertical="center" wrapText="1"/>
    </xf>
    <xf numFmtId="166" fontId="45" fillId="0" borderId="48" xfId="2" applyNumberFormat="1" applyFont="1" applyFill="1" applyBorder="1" applyAlignment="1">
      <alignment vertical="center" wrapText="1"/>
    </xf>
    <xf numFmtId="170" fontId="45" fillId="0" borderId="48" xfId="2" applyNumberFormat="1" applyFont="1" applyFill="1" applyBorder="1" applyAlignment="1">
      <alignment vertical="center" wrapText="1"/>
    </xf>
    <xf numFmtId="166" fontId="45" fillId="0" borderId="46" xfId="2" applyNumberFormat="1" applyFont="1" applyFill="1" applyBorder="1" applyAlignment="1">
      <alignment vertical="center" wrapText="1"/>
    </xf>
    <xf numFmtId="171" fontId="45" fillId="0" borderId="48" xfId="2" applyNumberFormat="1" applyFont="1" applyFill="1" applyBorder="1" applyAlignment="1">
      <alignment vertical="center" wrapText="1"/>
    </xf>
    <xf numFmtId="0" fontId="51" fillId="28" borderId="46" xfId="0" applyFont="1" applyFill="1" applyBorder="1" applyAlignment="1">
      <alignment horizontal="center" vertical="center" wrapText="1"/>
    </xf>
    <xf numFmtId="0" fontId="43" fillId="0" borderId="46" xfId="0" applyFont="1" applyBorder="1"/>
    <xf numFmtId="0" fontId="45" fillId="0" borderId="46" xfId="0" applyFont="1" applyBorder="1"/>
    <xf numFmtId="166" fontId="44" fillId="0" borderId="46" xfId="2" applyNumberFormat="1" applyFont="1" applyFill="1" applyBorder="1"/>
    <xf numFmtId="0" fontId="48" fillId="28" borderId="52" xfId="0" applyFont="1" applyFill="1" applyBorder="1"/>
    <xf numFmtId="0" fontId="48" fillId="28" borderId="55" xfId="0" applyFont="1" applyFill="1" applyBorder="1"/>
    <xf numFmtId="166" fontId="110" fillId="24" borderId="0" xfId="2" applyNumberFormat="1" applyFont="1" applyFill="1"/>
    <xf numFmtId="166" fontId="0" fillId="24" borderId="0" xfId="2" applyNumberFormat="1" applyFont="1" applyFill="1"/>
    <xf numFmtId="0" fontId="0" fillId="32" borderId="0" xfId="0" applyFill="1"/>
    <xf numFmtId="166" fontId="110" fillId="30" borderId="0" xfId="2" applyNumberFormat="1" applyFont="1" applyFill="1"/>
    <xf numFmtId="0" fontId="42" fillId="28" borderId="0" xfId="0" applyFont="1" applyFill="1" applyAlignment="1">
      <alignment horizontal="center"/>
    </xf>
    <xf numFmtId="0" fontId="49" fillId="28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6" fontId="5" fillId="0" borderId="45" xfId="2" applyNumberFormat="1" applyFont="1" applyFill="1" applyBorder="1" applyAlignment="1">
      <alignment vertical="center" wrapText="1"/>
    </xf>
    <xf numFmtId="166" fontId="14" fillId="0" borderId="45" xfId="2" applyNumberFormat="1" applyFont="1" applyFill="1" applyBorder="1" applyAlignment="1">
      <alignment vertical="center" wrapText="1"/>
    </xf>
    <xf numFmtId="166" fontId="4" fillId="0" borderId="56" xfId="2" applyNumberFormat="1" applyFont="1" applyFill="1" applyBorder="1" applyAlignment="1">
      <alignment horizontal="center" vertical="center"/>
    </xf>
    <xf numFmtId="166" fontId="45" fillId="0" borderId="0" xfId="0" applyNumberFormat="1" applyFont="1"/>
    <xf numFmtId="166" fontId="4" fillId="0" borderId="57" xfId="2" applyNumberFormat="1" applyFont="1" applyFill="1" applyBorder="1" applyAlignment="1">
      <alignment horizontal="center" vertical="center"/>
    </xf>
    <xf numFmtId="166" fontId="49" fillId="28" borderId="46" xfId="2" applyNumberFormat="1" applyFont="1" applyFill="1" applyBorder="1" applyAlignment="1">
      <alignment horizontal="center" vertical="center" wrapText="1"/>
    </xf>
    <xf numFmtId="166" fontId="106" fillId="33" borderId="46" xfId="0" applyNumberFormat="1" applyFont="1" applyFill="1" applyBorder="1"/>
    <xf numFmtId="166" fontId="106" fillId="28" borderId="0" xfId="0" applyNumberFormat="1" applyFont="1" applyFill="1"/>
    <xf numFmtId="176" fontId="23" fillId="28" borderId="0" xfId="49" applyNumberFormat="1" applyFill="1" applyAlignment="1">
      <alignment horizontal="center" vertical="center" wrapText="1"/>
    </xf>
    <xf numFmtId="176" fontId="23" fillId="28" borderId="0" xfId="49" applyNumberFormat="1" applyFill="1" applyAlignment="1">
      <alignment vertical="center" wrapText="1"/>
    </xf>
    <xf numFmtId="176" fontId="114" fillId="28" borderId="0" xfId="49" applyNumberFormat="1" applyFont="1" applyFill="1" applyAlignment="1">
      <alignment horizontal="right"/>
    </xf>
    <xf numFmtId="176" fontId="64" fillId="28" borderId="37" xfId="49" applyNumberFormat="1" applyFont="1" applyFill="1" applyBorder="1" applyAlignment="1">
      <alignment horizontal="center" vertical="center" wrapText="1"/>
    </xf>
    <xf numFmtId="176" fontId="63" fillId="28" borderId="37" xfId="49" applyNumberFormat="1" applyFont="1" applyFill="1" applyBorder="1" applyAlignment="1">
      <alignment vertical="center" wrapText="1"/>
    </xf>
    <xf numFmtId="0" fontId="23" fillId="28" borderId="0" xfId="49" applyFill="1"/>
    <xf numFmtId="0" fontId="80" fillId="28" borderId="0" xfId="72" applyFill="1"/>
    <xf numFmtId="0" fontId="81" fillId="28" borderId="0" xfId="72" applyFont="1" applyFill="1" applyAlignment="1">
      <alignment horizontal="right"/>
    </xf>
    <xf numFmtId="0" fontId="82" fillId="28" borderId="0" xfId="72" applyFont="1" applyFill="1" applyAlignment="1" applyProtection="1">
      <alignment vertical="center" wrapText="1"/>
      <protection locked="0"/>
    </xf>
    <xf numFmtId="0" fontId="82" fillId="28" borderId="0" xfId="72" applyFont="1" applyFill="1" applyAlignment="1" applyProtection="1">
      <alignment horizontal="center" vertical="top" wrapText="1"/>
      <protection locked="0"/>
    </xf>
    <xf numFmtId="0" fontId="80" fillId="28" borderId="0" xfId="72" applyFill="1" applyAlignment="1">
      <alignment horizontal="center"/>
    </xf>
    <xf numFmtId="166" fontId="80" fillId="28" borderId="0" xfId="72" applyNumberFormat="1" applyFill="1"/>
    <xf numFmtId="173" fontId="80" fillId="28" borderId="0" xfId="72" applyNumberFormat="1" applyFill="1"/>
    <xf numFmtId="166" fontId="90" fillId="28" borderId="45" xfId="2" applyNumberFormat="1" applyFont="1" applyFill="1" applyBorder="1" applyAlignment="1" applyProtection="1">
      <alignment horizontal="right" vertical="center"/>
      <protection locked="0"/>
    </xf>
    <xf numFmtId="166" fontId="90" fillId="28" borderId="45" xfId="2" applyNumberFormat="1" applyFont="1" applyFill="1" applyBorder="1" applyAlignment="1">
      <alignment vertical="center"/>
    </xf>
    <xf numFmtId="174" fontId="90" fillId="28" borderId="0" xfId="36" applyNumberFormat="1" applyFont="1" applyFill="1" applyBorder="1" applyAlignment="1">
      <alignment vertical="center"/>
    </xf>
    <xf numFmtId="0" fontId="80" fillId="28" borderId="62" xfId="72" applyFill="1" applyBorder="1" applyAlignment="1">
      <alignment horizontal="center" vertical="center"/>
    </xf>
    <xf numFmtId="0" fontId="88" fillId="28" borderId="63" xfId="72" applyFont="1" applyFill="1" applyBorder="1" applyAlignment="1">
      <alignment horizontal="left" vertical="center" wrapText="1" indent="5"/>
    </xf>
    <xf numFmtId="0" fontId="80" fillId="28" borderId="2" xfId="72" applyFill="1" applyBorder="1" applyAlignment="1">
      <alignment horizontal="center" vertical="center"/>
    </xf>
    <xf numFmtId="166" fontId="90" fillId="28" borderId="3" xfId="2" applyNumberFormat="1" applyFont="1" applyFill="1" applyBorder="1" applyAlignment="1" applyProtection="1">
      <alignment horizontal="right" vertical="center"/>
      <protection locked="0"/>
    </xf>
    <xf numFmtId="166" fontId="90" fillId="28" borderId="3" xfId="2" applyNumberFormat="1" applyFont="1" applyFill="1" applyBorder="1" applyAlignment="1">
      <alignment vertical="center"/>
    </xf>
    <xf numFmtId="166" fontId="90" fillId="28" borderId="64" xfId="2" applyNumberFormat="1" applyFont="1" applyFill="1" applyBorder="1" applyAlignment="1">
      <alignment vertical="center"/>
    </xf>
    <xf numFmtId="166" fontId="90" fillId="28" borderId="4" xfId="2" applyNumberFormat="1" applyFont="1" applyFill="1" applyBorder="1" applyAlignment="1">
      <alignment vertical="center"/>
    </xf>
    <xf numFmtId="174" fontId="91" fillId="28" borderId="0" xfId="36" applyNumberFormat="1" applyFont="1" applyFill="1" applyBorder="1" applyAlignment="1">
      <alignment vertical="center"/>
    </xf>
    <xf numFmtId="166" fontId="90" fillId="28" borderId="65" xfId="2" applyNumberFormat="1" applyFont="1" applyFill="1" applyBorder="1" applyAlignment="1">
      <alignment vertical="center"/>
    </xf>
    <xf numFmtId="166" fontId="90" fillId="28" borderId="66" xfId="2" applyNumberFormat="1" applyFont="1" applyFill="1" applyBorder="1" applyAlignment="1">
      <alignment vertical="center"/>
    </xf>
    <xf numFmtId="166" fontId="90" fillId="28" borderId="56" xfId="2" applyNumberFormat="1" applyFont="1" applyFill="1" applyBorder="1" applyAlignment="1">
      <alignment vertical="center"/>
    </xf>
    <xf numFmtId="0" fontId="80" fillId="28" borderId="31" xfId="72" applyFill="1" applyBorder="1" applyAlignment="1" applyProtection="1">
      <alignment horizontal="left" vertical="center" wrapText="1" indent="1"/>
      <protection locked="0"/>
    </xf>
    <xf numFmtId="166" fontId="87" fillId="28" borderId="31" xfId="2" applyNumberFormat="1" applyFont="1" applyFill="1" applyBorder="1" applyAlignment="1" applyProtection="1">
      <alignment horizontal="right" vertical="center"/>
    </xf>
    <xf numFmtId="174" fontId="92" fillId="28" borderId="0" xfId="36" applyNumberFormat="1" applyFont="1" applyFill="1" applyBorder="1" applyAlignment="1">
      <alignment vertical="center"/>
    </xf>
    <xf numFmtId="166" fontId="80" fillId="28" borderId="45" xfId="2" applyNumberFormat="1" applyFont="1" applyFill="1" applyBorder="1"/>
    <xf numFmtId="0" fontId="88" fillId="28" borderId="56" xfId="72" applyFont="1" applyFill="1" applyBorder="1" applyAlignment="1">
      <alignment horizontal="left" vertical="center" wrapText="1" indent="5"/>
    </xf>
    <xf numFmtId="166" fontId="80" fillId="28" borderId="56" xfId="2" applyNumberFormat="1" applyFont="1" applyFill="1" applyBorder="1"/>
    <xf numFmtId="166" fontId="93" fillId="28" borderId="0" xfId="2" applyNumberFormat="1" applyFont="1" applyFill="1"/>
    <xf numFmtId="166" fontId="80" fillId="28" borderId="0" xfId="2" applyNumberFormat="1" applyFont="1" applyFill="1"/>
    <xf numFmtId="174" fontId="80" fillId="28" borderId="0" xfId="72" applyNumberFormat="1" applyFill="1"/>
    <xf numFmtId="44" fontId="80" fillId="28" borderId="0" xfId="2" applyFont="1" applyFill="1"/>
    <xf numFmtId="167" fontId="93" fillId="28" borderId="0" xfId="72" applyNumberFormat="1" applyFont="1" applyFill="1"/>
    <xf numFmtId="167" fontId="80" fillId="28" borderId="0" xfId="72" applyNumberFormat="1" applyFill="1"/>
    <xf numFmtId="0" fontId="53" fillId="25" borderId="46" xfId="49" applyFont="1" applyFill="1" applyBorder="1" applyAlignment="1">
      <alignment horizontal="left" vertical="center" wrapText="1"/>
    </xf>
    <xf numFmtId="167" fontId="53" fillId="25" borderId="46" xfId="1" applyNumberFormat="1" applyFont="1" applyFill="1" applyBorder="1" applyAlignment="1">
      <alignment horizontal="right" vertical="center" wrapText="1"/>
    </xf>
    <xf numFmtId="167" fontId="53" fillId="0" borderId="46" xfId="1" applyNumberFormat="1" applyFont="1" applyBorder="1" applyAlignment="1">
      <alignment horizontal="right" vertical="center" wrapText="1"/>
    </xf>
    <xf numFmtId="3" fontId="53" fillId="0" borderId="54" xfId="49" applyNumberFormat="1" applyFont="1" applyBorder="1" applyAlignment="1">
      <alignment vertical="center" wrapText="1"/>
    </xf>
    <xf numFmtId="0" fontId="96" fillId="25" borderId="46" xfId="49" applyFont="1" applyFill="1" applyBorder="1" applyAlignment="1">
      <alignment horizontal="left" vertical="center" wrapText="1"/>
    </xf>
    <xf numFmtId="0" fontId="108" fillId="25" borderId="46" xfId="49" applyFont="1" applyFill="1" applyBorder="1" applyAlignment="1">
      <alignment horizontal="left" vertical="center" wrapText="1"/>
    </xf>
    <xf numFmtId="167" fontId="109" fillId="25" borderId="46" xfId="1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23" fillId="0" borderId="0" xfId="49"/>
    <xf numFmtId="0" fontId="115" fillId="0" borderId="0" xfId="74" applyFont="1" applyAlignment="1">
      <alignment vertical="center" wrapText="1"/>
    </xf>
    <xf numFmtId="0" fontId="116" fillId="0" borderId="0" xfId="74" applyFont="1" applyAlignment="1">
      <alignment vertical="center" wrapText="1"/>
    </xf>
    <xf numFmtId="0" fontId="23" fillId="24" borderId="0" xfId="49" applyFill="1"/>
    <xf numFmtId="3" fontId="23" fillId="0" borderId="0" xfId="49" applyNumberFormat="1"/>
    <xf numFmtId="0" fontId="117" fillId="0" borderId="0" xfId="74" applyFont="1" applyAlignment="1">
      <alignment vertical="center" wrapText="1"/>
    </xf>
    <xf numFmtId="3" fontId="117" fillId="0" borderId="0" xfId="74" applyNumberFormat="1" applyFont="1" applyAlignment="1">
      <alignment vertical="center" wrapText="1"/>
    </xf>
    <xf numFmtId="3" fontId="115" fillId="0" borderId="0" xfId="74" applyNumberFormat="1" applyFont="1" applyAlignment="1">
      <alignment vertical="center" wrapText="1"/>
    </xf>
    <xf numFmtId="3" fontId="117" fillId="0" borderId="25" xfId="74" applyNumberFormat="1" applyFont="1" applyBorder="1" applyAlignment="1">
      <alignment vertical="center" wrapText="1"/>
    </xf>
    <xf numFmtId="166" fontId="4" fillId="28" borderId="7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4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6" fontId="44" fillId="0" borderId="67" xfId="2" applyNumberFormat="1" applyFont="1" applyFill="1" applyBorder="1" applyAlignment="1">
      <alignment horizontal="center" vertical="center" wrapText="1"/>
    </xf>
    <xf numFmtId="0" fontId="119" fillId="0" borderId="0" xfId="0" applyFont="1" applyAlignment="1">
      <alignment horizontal="left" indent="2"/>
    </xf>
    <xf numFmtId="0" fontId="119" fillId="0" borderId="0" xfId="0" applyFont="1"/>
    <xf numFmtId="0" fontId="54" fillId="0" borderId="34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42" fontId="0" fillId="0" borderId="60" xfId="0" applyNumberFormat="1" applyBorder="1" applyAlignment="1">
      <alignment horizontal="center" vertical="center"/>
    </xf>
    <xf numFmtId="0" fontId="54" fillId="0" borderId="34" xfId="0" applyFont="1" applyBorder="1" applyAlignment="1">
      <alignment horizontal="right" vertical="center" wrapText="1"/>
    </xf>
    <xf numFmtId="42" fontId="0" fillId="0" borderId="0" xfId="0" applyNumberFormat="1"/>
    <xf numFmtId="169" fontId="0" fillId="0" borderId="0" xfId="0" applyNumberFormat="1"/>
    <xf numFmtId="0" fontId="52" fillId="0" borderId="0" xfId="75" applyFont="1"/>
    <xf numFmtId="0" fontId="59" fillId="0" borderId="0" xfId="75" applyFont="1"/>
    <xf numFmtId="169" fontId="54" fillId="0" borderId="78" xfId="0" applyNumberFormat="1" applyFont="1" applyBorder="1" applyAlignment="1">
      <alignment vertical="center"/>
    </xf>
    <xf numFmtId="166" fontId="11" fillId="0" borderId="45" xfId="2" applyNumberFormat="1" applyFont="1" applyFill="1" applyBorder="1" applyAlignment="1">
      <alignment vertical="center" wrapText="1"/>
    </xf>
    <xf numFmtId="166" fontId="5" fillId="0" borderId="31" xfId="2" applyNumberFormat="1" applyFont="1" applyFill="1" applyBorder="1" applyAlignment="1">
      <alignment vertical="center" wrapText="1"/>
    </xf>
    <xf numFmtId="169" fontId="54" fillId="0" borderId="78" xfId="0" applyNumberFormat="1" applyFont="1" applyBorder="1" applyAlignment="1">
      <alignment horizontal="right" vertical="center"/>
    </xf>
    <xf numFmtId="169" fontId="54" fillId="0" borderId="80" xfId="0" applyNumberFormat="1" applyFont="1" applyBorder="1" applyAlignment="1">
      <alignment vertical="center"/>
    </xf>
    <xf numFmtId="0" fontId="45" fillId="0" borderId="67" xfId="0" applyFont="1" applyBorder="1" applyAlignment="1">
      <alignment horizontal="left" vertical="center" wrapText="1"/>
    </xf>
    <xf numFmtId="178" fontId="0" fillId="28" borderId="0" xfId="0" applyNumberFormat="1" applyFill="1"/>
    <xf numFmtId="169" fontId="45" fillId="0" borderId="71" xfId="0" applyNumberFormat="1" applyFont="1" applyBorder="1" applyAlignment="1">
      <alignment wrapText="1"/>
    </xf>
    <xf numFmtId="166" fontId="45" fillId="0" borderId="71" xfId="2" applyNumberFormat="1" applyFont="1" applyFill="1" applyBorder="1" applyAlignment="1">
      <alignment vertical="center" wrapText="1"/>
    </xf>
    <xf numFmtId="166" fontId="44" fillId="0" borderId="92" xfId="2" applyNumberFormat="1" applyFont="1" applyFill="1" applyBorder="1" applyAlignment="1">
      <alignment horizontal="center" vertical="center" wrapText="1"/>
    </xf>
    <xf numFmtId="166" fontId="45" fillId="0" borderId="91" xfId="2" applyNumberFormat="1" applyFont="1" applyFill="1" applyBorder="1" applyAlignment="1">
      <alignment horizontal="center" vertical="center" wrapText="1"/>
    </xf>
    <xf numFmtId="166" fontId="45" fillId="0" borderId="1" xfId="2" applyNumberFormat="1" applyFont="1" applyFill="1" applyBorder="1" applyAlignment="1">
      <alignment vertical="center" wrapText="1"/>
    </xf>
    <xf numFmtId="167" fontId="41" fillId="0" borderId="0" xfId="1" applyNumberFormat="1" applyFont="1" applyFill="1"/>
    <xf numFmtId="49" fontId="41" fillId="0" borderId="0" xfId="0" applyNumberFormat="1" applyFont="1"/>
    <xf numFmtId="0" fontId="41" fillId="0" borderId="1" xfId="0" applyFont="1" applyBorder="1" applyAlignment="1">
      <alignment wrapText="1"/>
    </xf>
    <xf numFmtId="0" fontId="48" fillId="28" borderId="67" xfId="0" applyFont="1" applyFill="1" applyBorder="1"/>
    <xf numFmtId="0" fontId="48" fillId="28" borderId="46" xfId="0" applyFont="1" applyFill="1" applyBorder="1" applyAlignment="1">
      <alignment vertical="center"/>
    </xf>
    <xf numFmtId="6" fontId="48" fillId="28" borderId="46" xfId="0" applyNumberFormat="1" applyFont="1" applyFill="1" applyBorder="1" applyAlignment="1">
      <alignment vertical="center"/>
    </xf>
    <xf numFmtId="0" fontId="48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166" fontId="45" fillId="0" borderId="67" xfId="2" applyNumberFormat="1" applyFont="1" applyFill="1" applyBorder="1" applyAlignment="1">
      <alignment horizontal="center" vertical="center" wrapText="1"/>
    </xf>
    <xf numFmtId="0" fontId="56" fillId="0" borderId="0" xfId="68" applyFont="1" applyAlignment="1">
      <alignment horizontal="center"/>
    </xf>
    <xf numFmtId="0" fontId="56" fillId="0" borderId="0" xfId="68" applyFont="1" applyAlignment="1">
      <alignment vertical="center"/>
    </xf>
    <xf numFmtId="0" fontId="56" fillId="0" borderId="0" xfId="67" applyFont="1" applyAlignment="1">
      <alignment horizontal="center" vertical="center"/>
    </xf>
    <xf numFmtId="14" fontId="56" fillId="0" borderId="0" xfId="67" applyNumberFormat="1" applyFont="1" applyAlignment="1">
      <alignment horizontal="center" vertical="center"/>
    </xf>
    <xf numFmtId="0" fontId="60" fillId="0" borderId="0" xfId="67" applyFont="1"/>
    <xf numFmtId="0" fontId="61" fillId="0" borderId="0" xfId="67" applyFont="1" applyAlignment="1">
      <alignment horizontal="center"/>
    </xf>
    <xf numFmtId="14" fontId="61" fillId="0" borderId="0" xfId="67" applyNumberFormat="1" applyFont="1" applyAlignment="1">
      <alignment horizontal="center"/>
    </xf>
    <xf numFmtId="0" fontId="61" fillId="0" borderId="0" xfId="67" applyFont="1"/>
    <xf numFmtId="0" fontId="66" fillId="0" borderId="0" xfId="49" applyFont="1"/>
    <xf numFmtId="0" fontId="66" fillId="0" borderId="0" xfId="49" applyFont="1" applyAlignment="1">
      <alignment horizontal="center"/>
    </xf>
    <xf numFmtId="0" fontId="66" fillId="0" borderId="0" xfId="49" applyFont="1" applyAlignment="1">
      <alignment horizontal="right"/>
    </xf>
    <xf numFmtId="0" fontId="66" fillId="0" borderId="27" xfId="49" applyFont="1" applyBorder="1"/>
    <xf numFmtId="0" fontId="66" fillId="0" borderId="1" xfId="49" applyFont="1" applyBorder="1" applyAlignment="1">
      <alignment horizontal="center" vertical="center"/>
    </xf>
    <xf numFmtId="3" fontId="71" fillId="0" borderId="1" xfId="49" applyNumberFormat="1" applyFont="1" applyBorder="1" applyAlignment="1">
      <alignment horizontal="center" vertical="center" wrapText="1"/>
    </xf>
    <xf numFmtId="0" fontId="66" fillId="0" borderId="93" xfId="49" applyFont="1" applyBorder="1"/>
    <xf numFmtId="14" fontId="66" fillId="0" borderId="1" xfId="49" applyNumberFormat="1" applyFont="1" applyBorder="1" applyAlignment="1">
      <alignment horizontal="center" vertical="center" wrapText="1"/>
    </xf>
    <xf numFmtId="0" fontId="66" fillId="0" borderId="1" xfId="49" applyFont="1" applyBorder="1" applyAlignment="1">
      <alignment horizontal="center" vertical="center" wrapText="1"/>
    </xf>
    <xf numFmtId="3" fontId="72" fillId="0" borderId="1" xfId="49" applyNumberFormat="1" applyFont="1" applyBorder="1" applyAlignment="1">
      <alignment horizontal="center" vertical="center" wrapText="1"/>
    </xf>
    <xf numFmtId="0" fontId="66" fillId="0" borderId="1" xfId="49" applyFont="1" applyBorder="1" applyAlignment="1">
      <alignment horizontal="center"/>
    </xf>
    <xf numFmtId="3" fontId="73" fillId="0" borderId="1" xfId="49" applyNumberFormat="1" applyFont="1" applyBorder="1" applyAlignment="1">
      <alignment horizontal="center" vertical="center"/>
    </xf>
    <xf numFmtId="0" fontId="73" fillId="0" borderId="0" xfId="49" applyFont="1" applyAlignment="1">
      <alignment horizontal="center"/>
    </xf>
    <xf numFmtId="0" fontId="73" fillId="0" borderId="93" xfId="49" applyFont="1" applyBorder="1" applyAlignment="1">
      <alignment horizontal="center"/>
    </xf>
    <xf numFmtId="3" fontId="73" fillId="0" borderId="1" xfId="49" applyNumberFormat="1" applyFont="1" applyBorder="1" applyAlignment="1">
      <alignment horizontal="center" vertical="center" wrapText="1"/>
    </xf>
    <xf numFmtId="0" fontId="72" fillId="0" borderId="0" xfId="49" applyFont="1"/>
    <xf numFmtId="0" fontId="72" fillId="0" borderId="95" xfId="49" applyFont="1" applyBorder="1"/>
    <xf numFmtId="3" fontId="66" fillId="0" borderId="1" xfId="49" applyNumberFormat="1" applyFont="1" applyBorder="1" applyAlignment="1">
      <alignment horizontal="center" vertical="center" wrapText="1"/>
    </xf>
    <xf numFmtId="3" fontId="69" fillId="0" borderId="1" xfId="49" applyNumberFormat="1" applyFont="1" applyBorder="1" applyAlignment="1">
      <alignment horizontal="center" vertical="center" wrapText="1"/>
    </xf>
    <xf numFmtId="3" fontId="72" fillId="0" borderId="1" xfId="49" applyNumberFormat="1" applyFont="1" applyBorder="1" applyAlignment="1">
      <alignment horizontal="center" vertical="center"/>
    </xf>
    <xf numFmtId="3" fontId="73" fillId="0" borderId="96" xfId="49" applyNumberFormat="1" applyFont="1" applyBorder="1" applyAlignment="1">
      <alignment horizontal="center" vertical="center"/>
    </xf>
    <xf numFmtId="3" fontId="73" fillId="0" borderId="97" xfId="49" applyNumberFormat="1" applyFont="1" applyBorder="1" applyAlignment="1">
      <alignment horizontal="center" vertical="center"/>
    </xf>
    <xf numFmtId="3" fontId="73" fillId="0" borderId="98" xfId="49" applyNumberFormat="1" applyFont="1" applyBorder="1" applyAlignment="1">
      <alignment horizontal="center" vertical="center"/>
    </xf>
    <xf numFmtId="3" fontId="73" fillId="0" borderId="99" xfId="49" applyNumberFormat="1" applyFont="1" applyBorder="1" applyAlignment="1">
      <alignment horizontal="center" vertical="center"/>
    </xf>
    <xf numFmtId="3" fontId="73" fillId="0" borderId="0" xfId="49" applyNumberFormat="1" applyFont="1" applyAlignment="1">
      <alignment horizontal="center" vertical="center"/>
    </xf>
    <xf numFmtId="3" fontId="66" fillId="0" borderId="100" xfId="49" applyNumberFormat="1" applyFont="1" applyBorder="1" applyAlignment="1">
      <alignment horizontal="center" vertical="center"/>
    </xf>
    <xf numFmtId="166" fontId="66" fillId="0" borderId="93" xfId="59" applyNumberFormat="1" applyFont="1" applyFill="1" applyBorder="1" applyAlignment="1">
      <alignment horizontal="center" vertical="center"/>
    </xf>
    <xf numFmtId="3" fontId="70" fillId="26" borderId="0" xfId="49" applyNumberFormat="1" applyFont="1" applyFill="1"/>
    <xf numFmtId="0" fontId="70" fillId="26" borderId="0" xfId="49" applyFont="1" applyFill="1"/>
    <xf numFmtId="0" fontId="75" fillId="27" borderId="0" xfId="49" applyFont="1" applyFill="1" applyAlignment="1">
      <alignment horizontal="center" vertical="center" wrapText="1"/>
    </xf>
    <xf numFmtId="3" fontId="76" fillId="27" borderId="0" xfId="49" applyNumberFormat="1" applyFont="1" applyFill="1"/>
    <xf numFmtId="0" fontId="76" fillId="27" borderId="0" xfId="49" applyFont="1" applyFill="1"/>
    <xf numFmtId="0" fontId="66" fillId="0" borderId="30" xfId="49" applyFont="1" applyBorder="1"/>
    <xf numFmtId="166" fontId="66" fillId="0" borderId="0" xfId="49" applyNumberFormat="1" applyFont="1"/>
    <xf numFmtId="0" fontId="76" fillId="0" borderId="0" xfId="49" applyFont="1"/>
    <xf numFmtId="0" fontId="76" fillId="0" borderId="0" xfId="49" applyFont="1" applyAlignment="1">
      <alignment vertical="center" wrapText="1"/>
    </xf>
    <xf numFmtId="3" fontId="76" fillId="0" borderId="0" xfId="49" applyNumberFormat="1" applyFont="1"/>
    <xf numFmtId="0" fontId="76" fillId="0" borderId="0" xfId="49" applyFont="1" applyAlignment="1">
      <alignment horizontal="center" wrapText="1"/>
    </xf>
    <xf numFmtId="0" fontId="76" fillId="0" borderId="0" xfId="49" applyFont="1" applyAlignment="1">
      <alignment horizontal="center"/>
    </xf>
    <xf numFmtId="0" fontId="69" fillId="0" borderId="0" xfId="49" applyFont="1"/>
    <xf numFmtId="3" fontId="66" fillId="0" borderId="0" xfId="49" applyNumberFormat="1" applyFont="1" applyAlignment="1">
      <alignment horizontal="center"/>
    </xf>
    <xf numFmtId="3" fontId="66" fillId="0" borderId="0" xfId="49" applyNumberFormat="1" applyFont="1"/>
    <xf numFmtId="0" fontId="66" fillId="0" borderId="95" xfId="49" applyFont="1" applyBorder="1"/>
    <xf numFmtId="0" fontId="80" fillId="28" borderId="0" xfId="72" applyFill="1" applyAlignment="1">
      <alignment horizontal="right" wrapText="1"/>
    </xf>
    <xf numFmtId="0" fontId="83" fillId="28" borderId="2" xfId="72" applyFont="1" applyFill="1" applyBorder="1" applyAlignment="1">
      <alignment horizontal="center" vertical="center" textRotation="90" wrapText="1"/>
    </xf>
    <xf numFmtId="0" fontId="82" fillId="28" borderId="3" xfId="72" applyFont="1" applyFill="1" applyBorder="1" applyAlignment="1">
      <alignment horizontal="center" vertical="center"/>
    </xf>
    <xf numFmtId="0" fontId="84" fillId="28" borderId="3" xfId="72" applyFont="1" applyFill="1" applyBorder="1" applyAlignment="1">
      <alignment horizontal="center" vertical="center" wrapText="1"/>
    </xf>
    <xf numFmtId="0" fontId="85" fillId="28" borderId="3" xfId="72" applyFont="1" applyFill="1" applyBorder="1" applyAlignment="1">
      <alignment horizontal="center" vertical="center" wrapText="1"/>
    </xf>
    <xf numFmtId="0" fontId="85" fillId="28" borderId="0" xfId="72" applyFont="1" applyFill="1" applyAlignment="1">
      <alignment horizontal="center" vertical="center" wrapText="1"/>
    </xf>
    <xf numFmtId="0" fontId="80" fillId="28" borderId="45" xfId="72" applyFill="1" applyBorder="1" applyAlignment="1" applyProtection="1">
      <alignment horizontal="left" vertical="center" wrapText="1" indent="1"/>
      <protection locked="0"/>
    </xf>
    <xf numFmtId="166" fontId="87" fillId="28" borderId="45" xfId="2" applyNumberFormat="1" applyFont="1" applyFill="1" applyBorder="1" applyAlignment="1" applyProtection="1">
      <alignment horizontal="right" vertical="center"/>
    </xf>
    <xf numFmtId="173" fontId="87" fillId="28" borderId="0" xfId="72" applyNumberFormat="1" applyFont="1" applyFill="1" applyAlignment="1">
      <alignment horizontal="right" vertical="center"/>
    </xf>
    <xf numFmtId="0" fontId="80" fillId="28" borderId="3" xfId="72" applyFill="1" applyBorder="1" applyAlignment="1">
      <alignment horizontal="left" vertical="center" indent="1"/>
    </xf>
    <xf numFmtId="0" fontId="80" fillId="28" borderId="45" xfId="72" applyFill="1" applyBorder="1" applyAlignment="1">
      <alignment horizontal="left" vertical="center" indent="1"/>
    </xf>
    <xf numFmtId="0" fontId="80" fillId="28" borderId="56" xfId="72" applyFill="1" applyBorder="1" applyAlignment="1">
      <alignment horizontal="left" vertical="center" wrapText="1" indent="1"/>
    </xf>
    <xf numFmtId="0" fontId="88" fillId="28" borderId="45" xfId="72" applyFont="1" applyFill="1" applyBorder="1" applyAlignment="1">
      <alignment horizontal="left" vertical="center" wrapText="1" indent="5"/>
    </xf>
    <xf numFmtId="167" fontId="80" fillId="28" borderId="0" xfId="1" applyNumberFormat="1" applyFont="1" applyFill="1"/>
    <xf numFmtId="0" fontId="41" fillId="0" borderId="1" xfId="0" applyFont="1" applyBorder="1" applyAlignment="1">
      <alignment horizontal="center" vertical="center" textRotation="90"/>
    </xf>
    <xf numFmtId="166" fontId="41" fillId="0" borderId="0" xfId="2" applyNumberFormat="1" applyFont="1" applyFill="1"/>
    <xf numFmtId="6" fontId="0" fillId="28" borderId="0" xfId="0" applyNumberFormat="1" applyFill="1"/>
    <xf numFmtId="0" fontId="113" fillId="0" borderId="0" xfId="0" applyFont="1" applyAlignment="1">
      <alignment horizontal="center"/>
    </xf>
    <xf numFmtId="166" fontId="106" fillId="0" borderId="0" xfId="0" applyNumberFormat="1" applyFont="1"/>
    <xf numFmtId="166" fontId="44" fillId="0" borderId="7" xfId="2" applyNumberFormat="1" applyFont="1" applyFill="1" applyBorder="1" applyAlignment="1">
      <alignment horizontal="center" vertical="center"/>
    </xf>
    <xf numFmtId="166" fontId="42" fillId="0" borderId="6" xfId="2" applyNumberFormat="1" applyFont="1" applyFill="1" applyBorder="1" applyAlignment="1">
      <alignment horizontal="center" vertical="center"/>
    </xf>
    <xf numFmtId="166" fontId="42" fillId="0" borderId="7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66" fontId="9" fillId="28" borderId="0" xfId="2" applyNumberFormat="1" applyFont="1" applyFill="1" applyBorder="1" applyAlignment="1">
      <alignment horizontal="center" vertical="center"/>
    </xf>
    <xf numFmtId="0" fontId="63" fillId="25" borderId="0" xfId="49" applyFont="1" applyFill="1"/>
    <xf numFmtId="0" fontId="100" fillId="25" borderId="0" xfId="76" applyFont="1" applyFill="1"/>
    <xf numFmtId="0" fontId="63" fillId="25" borderId="0" xfId="76" applyFont="1" applyFill="1"/>
    <xf numFmtId="0" fontId="63" fillId="25" borderId="39" xfId="49" applyFont="1" applyFill="1" applyBorder="1" applyAlignment="1">
      <alignment horizontal="center" vertical="center" wrapText="1"/>
    </xf>
    <xf numFmtId="175" fontId="102" fillId="25" borderId="44" xfId="77" applyNumberFormat="1" applyFont="1" applyFill="1" applyBorder="1" applyAlignment="1" applyProtection="1">
      <alignment vertical="center"/>
    </xf>
    <xf numFmtId="175" fontId="102" fillId="25" borderId="43" xfId="77" applyNumberFormat="1" applyFont="1" applyFill="1" applyBorder="1" applyAlignment="1" applyProtection="1">
      <alignment vertical="center"/>
    </xf>
    <xf numFmtId="175" fontId="102" fillId="25" borderId="103" xfId="77" applyNumberFormat="1" applyFont="1" applyFill="1" applyBorder="1" applyAlignment="1" applyProtection="1">
      <alignment vertical="center"/>
    </xf>
    <xf numFmtId="175" fontId="102" fillId="25" borderId="102" xfId="77" applyNumberFormat="1" applyFont="1" applyFill="1" applyBorder="1" applyAlignment="1" applyProtection="1">
      <alignment vertical="center"/>
    </xf>
    <xf numFmtId="175" fontId="102" fillId="25" borderId="107" xfId="77" applyNumberFormat="1" applyFont="1" applyFill="1" applyBorder="1" applyAlignment="1" applyProtection="1">
      <alignment vertical="center"/>
    </xf>
    <xf numFmtId="175" fontId="102" fillId="25" borderId="108" xfId="77" applyNumberFormat="1" applyFont="1" applyFill="1" applyBorder="1" applyAlignment="1" applyProtection="1">
      <alignment vertical="center"/>
    </xf>
    <xf numFmtId="175" fontId="102" fillId="25" borderId="109" xfId="77" applyNumberFormat="1" applyFont="1" applyFill="1" applyBorder="1" applyAlignment="1" applyProtection="1">
      <alignment vertical="center"/>
    </xf>
    <xf numFmtId="175" fontId="100" fillId="25" borderId="42" xfId="76" applyNumberFormat="1" applyFont="1" applyFill="1" applyBorder="1" applyAlignment="1">
      <alignment horizontal="left" vertical="center"/>
    </xf>
    <xf numFmtId="175" fontId="100" fillId="25" borderId="41" xfId="76" applyNumberFormat="1" applyFont="1" applyFill="1" applyBorder="1" applyAlignment="1">
      <alignment horizontal="left" vertical="center"/>
    </xf>
    <xf numFmtId="175" fontId="101" fillId="25" borderId="0" xfId="76" applyNumberFormat="1" applyFont="1" applyFill="1" applyAlignment="1">
      <alignment horizontal="left"/>
    </xf>
    <xf numFmtId="0" fontId="101" fillId="25" borderId="0" xfId="76" applyFont="1" applyFill="1"/>
    <xf numFmtId="0" fontId="100" fillId="25" borderId="110" xfId="76" applyFont="1" applyFill="1" applyBorder="1"/>
    <xf numFmtId="0" fontId="101" fillId="25" borderId="0" xfId="76" applyFont="1" applyFill="1" applyAlignment="1">
      <alignment horizontal="left"/>
    </xf>
    <xf numFmtId="0" fontId="101" fillId="25" borderId="1" xfId="76" applyFont="1" applyFill="1" applyBorder="1" applyAlignment="1">
      <alignment horizontal="center" vertical="center" textRotation="90"/>
    </xf>
    <xf numFmtId="0" fontId="101" fillId="25" borderId="1" xfId="76" applyFont="1" applyFill="1" applyBorder="1" applyAlignment="1">
      <alignment horizontal="center" vertical="center" wrapText="1"/>
    </xf>
    <xf numFmtId="0" fontId="101" fillId="25" borderId="38" xfId="76" applyFont="1" applyFill="1" applyBorder="1" applyAlignment="1">
      <alignment horizontal="center" vertical="center"/>
    </xf>
    <xf numFmtId="175" fontId="102" fillId="25" borderId="38" xfId="77" applyNumberFormat="1" applyFont="1" applyFill="1" applyBorder="1" applyAlignment="1" applyProtection="1">
      <alignment vertical="center"/>
    </xf>
    <xf numFmtId="0" fontId="101" fillId="25" borderId="88" xfId="76" applyFont="1" applyFill="1" applyBorder="1" applyAlignment="1">
      <alignment horizontal="center" vertical="center"/>
    </xf>
    <xf numFmtId="175" fontId="102" fillId="25" borderId="88" xfId="77" applyNumberFormat="1" applyFont="1" applyFill="1" applyBorder="1" applyAlignment="1" applyProtection="1">
      <alignment vertical="center"/>
    </xf>
    <xf numFmtId="175" fontId="64" fillId="25" borderId="1" xfId="77" applyNumberFormat="1" applyFont="1" applyFill="1" applyBorder="1" applyAlignment="1">
      <alignment horizontal="right" vertical="center"/>
    </xf>
    <xf numFmtId="175" fontId="64" fillId="0" borderId="1" xfId="77" applyNumberFormat="1" applyFont="1" applyFill="1" applyBorder="1" applyAlignment="1">
      <alignment horizontal="right" vertical="center"/>
    </xf>
    <xf numFmtId="175" fontId="103" fillId="25" borderId="38" xfId="77" applyNumberFormat="1" applyFont="1" applyFill="1" applyBorder="1" applyAlignment="1" applyProtection="1">
      <alignment vertical="center"/>
    </xf>
    <xf numFmtId="0" fontId="63" fillId="25" borderId="88" xfId="78" applyFont="1" applyFill="1" applyBorder="1" applyAlignment="1">
      <alignment horizontal="center" vertical="center"/>
    </xf>
    <xf numFmtId="175" fontId="103" fillId="25" borderId="88" xfId="77" applyNumberFormat="1" applyFont="1" applyFill="1" applyBorder="1" applyAlignment="1" applyProtection="1">
      <alignment vertical="center"/>
    </xf>
    <xf numFmtId="175" fontId="102" fillId="25" borderId="1" xfId="77" applyNumberFormat="1" applyFont="1" applyFill="1" applyBorder="1" applyAlignment="1" applyProtection="1">
      <alignment vertical="center"/>
    </xf>
    <xf numFmtId="175" fontId="64" fillId="25" borderId="1" xfId="77" applyNumberFormat="1" applyFont="1" applyFill="1" applyBorder="1" applyAlignment="1" applyProtection="1">
      <alignment vertical="center"/>
    </xf>
    <xf numFmtId="0" fontId="63" fillId="25" borderId="0" xfId="78" applyFont="1" applyFill="1" applyAlignment="1">
      <alignment horizontal="center"/>
    </xf>
    <xf numFmtId="0" fontId="64" fillId="25" borderId="0" xfId="78" applyFont="1" applyFill="1"/>
    <xf numFmtId="175" fontId="63" fillId="25" borderId="0" xfId="77" applyNumberFormat="1" applyFont="1" applyFill="1" applyBorder="1" applyAlignment="1" applyProtection="1"/>
    <xf numFmtId="0" fontId="101" fillId="25" borderId="0" xfId="76" applyFont="1" applyFill="1" applyAlignment="1">
      <alignment horizontal="left" vertical="center" wrapText="1"/>
    </xf>
    <xf numFmtId="176" fontId="64" fillId="28" borderId="37" xfId="49" applyNumberFormat="1" applyFont="1" applyFill="1" applyBorder="1" applyAlignment="1">
      <alignment vertical="center" wrapText="1"/>
    </xf>
    <xf numFmtId="171" fontId="0" fillId="0" borderId="0" xfId="2" applyNumberFormat="1" applyFont="1"/>
    <xf numFmtId="171" fontId="0" fillId="0" borderId="0" xfId="0" applyNumberFormat="1"/>
    <xf numFmtId="0" fontId="54" fillId="28" borderId="34" xfId="0" applyFont="1" applyFill="1" applyBorder="1" applyAlignment="1">
      <alignment horizontal="center" vertical="center" wrapText="1"/>
    </xf>
    <xf numFmtId="166" fontId="0" fillId="0" borderId="0" xfId="2" applyNumberFormat="1" applyFont="1"/>
    <xf numFmtId="169" fontId="54" fillId="28" borderId="78" xfId="0" applyNumberFormat="1" applyFont="1" applyFill="1" applyBorder="1" applyAlignment="1">
      <alignment horizontal="right" vertical="center"/>
    </xf>
    <xf numFmtId="42" fontId="54" fillId="28" borderId="79" xfId="0" applyNumberFormat="1" applyFont="1" applyFill="1" applyBorder="1" applyAlignment="1">
      <alignment horizontal="right" vertical="center"/>
    </xf>
    <xf numFmtId="169" fontId="54" fillId="28" borderId="8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54" fillId="0" borderId="0" xfId="0" applyFont="1"/>
    <xf numFmtId="165" fontId="0" fillId="0" borderId="0" xfId="1" applyFont="1" applyFill="1"/>
    <xf numFmtId="0" fontId="54" fillId="28" borderId="34" xfId="0" applyFont="1" applyFill="1" applyBorder="1" applyAlignment="1">
      <alignment horizontal="right" vertical="center" wrapText="1"/>
    </xf>
    <xf numFmtId="0" fontId="54" fillId="28" borderId="36" xfId="0" applyFont="1" applyFill="1" applyBorder="1" applyAlignment="1">
      <alignment horizontal="center" vertical="center" wrapText="1"/>
    </xf>
    <xf numFmtId="169" fontId="54" fillId="28" borderId="78" xfId="0" applyNumberFormat="1" applyFont="1" applyFill="1" applyBorder="1" applyAlignment="1">
      <alignment horizontal="center" vertical="center"/>
    </xf>
    <xf numFmtId="42" fontId="54" fillId="28" borderId="79" xfId="0" applyNumberFormat="1" applyFont="1" applyFill="1" applyBorder="1" applyAlignment="1">
      <alignment horizontal="center" vertical="center"/>
    </xf>
    <xf numFmtId="169" fontId="54" fillId="28" borderId="80" xfId="0" applyNumberFormat="1" applyFont="1" applyFill="1" applyBorder="1" applyAlignment="1">
      <alignment horizontal="center" vertical="center"/>
    </xf>
    <xf numFmtId="169" fontId="54" fillId="28" borderId="78" xfId="0" applyNumberFormat="1" applyFont="1" applyFill="1" applyBorder="1" applyAlignment="1">
      <alignment vertical="center"/>
    </xf>
    <xf numFmtId="169" fontId="54" fillId="28" borderId="80" xfId="0" applyNumberFormat="1" applyFont="1" applyFill="1" applyBorder="1" applyAlignment="1">
      <alignment vertical="center"/>
    </xf>
    <xf numFmtId="0" fontId="41" fillId="0" borderId="67" xfId="0" applyFont="1" applyBorder="1"/>
    <xf numFmtId="169" fontId="45" fillId="0" borderId="113" xfId="0" applyNumberFormat="1" applyFont="1" applyBorder="1" applyAlignment="1">
      <alignment wrapText="1"/>
    </xf>
    <xf numFmtId="0" fontId="45" fillId="0" borderId="67" xfId="0" applyFont="1" applyBorder="1" applyAlignment="1">
      <alignment vertical="center" wrapText="1"/>
    </xf>
    <xf numFmtId="166" fontId="45" fillId="0" borderId="113" xfId="2" applyNumberFormat="1" applyFont="1" applyFill="1" applyBorder="1" applyAlignment="1">
      <alignment vertical="center" wrapText="1"/>
    </xf>
    <xf numFmtId="170" fontId="45" fillId="0" borderId="118" xfId="2" applyNumberFormat="1" applyFont="1" applyFill="1" applyBorder="1" applyAlignment="1">
      <alignment vertical="center" wrapText="1"/>
    </xf>
    <xf numFmtId="170" fontId="46" fillId="0" borderId="67" xfId="2" applyNumberFormat="1" applyFont="1" applyFill="1" applyBorder="1" applyAlignment="1">
      <alignment vertical="center" wrapText="1"/>
    </xf>
    <xf numFmtId="166" fontId="45" fillId="0" borderId="67" xfId="2" applyNumberFormat="1" applyFont="1" applyFill="1" applyBorder="1" applyAlignment="1">
      <alignment vertical="center" wrapText="1"/>
    </xf>
    <xf numFmtId="166" fontId="46" fillId="0" borderId="67" xfId="2" applyNumberFormat="1" applyFont="1" applyFill="1" applyBorder="1" applyAlignment="1">
      <alignment vertical="center" wrapText="1"/>
    </xf>
    <xf numFmtId="166" fontId="44" fillId="0" borderId="67" xfId="2" applyNumberFormat="1" applyFont="1" applyFill="1" applyBorder="1" applyAlignment="1">
      <alignment vertical="center" wrapText="1"/>
    </xf>
    <xf numFmtId="0" fontId="41" fillId="0" borderId="119" xfId="0" applyFont="1" applyBorder="1"/>
    <xf numFmtId="166" fontId="45" fillId="0" borderId="119" xfId="2" applyNumberFormat="1" applyFont="1" applyFill="1" applyBorder="1" applyAlignment="1">
      <alignment vertical="center" wrapText="1"/>
    </xf>
    <xf numFmtId="166" fontId="45" fillId="0" borderId="119" xfId="2" applyNumberFormat="1" applyFont="1" applyFill="1" applyBorder="1" applyAlignment="1">
      <alignment horizontal="center" vertical="center" wrapText="1"/>
    </xf>
    <xf numFmtId="166" fontId="44" fillId="0" borderId="119" xfId="2" applyNumberFormat="1" applyFont="1" applyFill="1" applyBorder="1" applyAlignment="1">
      <alignment horizontal="center" vertical="center" wrapText="1"/>
    </xf>
    <xf numFmtId="0" fontId="46" fillId="0" borderId="121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center" vertical="center" wrapText="1"/>
    </xf>
    <xf numFmtId="0" fontId="41" fillId="0" borderId="122" xfId="0" applyFont="1" applyBorder="1" applyAlignment="1">
      <alignment horizontal="center" vertical="center" textRotation="90"/>
    </xf>
    <xf numFmtId="0" fontId="46" fillId="0" borderId="25" xfId="0" applyFont="1" applyBorder="1" applyAlignment="1">
      <alignment horizontal="left" vertical="center" wrapText="1"/>
    </xf>
    <xf numFmtId="0" fontId="45" fillId="0" borderId="119" xfId="0" applyFont="1" applyBorder="1" applyAlignment="1">
      <alignment vertical="center" wrapText="1"/>
    </xf>
    <xf numFmtId="0" fontId="41" fillId="0" borderId="119" xfId="0" applyFont="1" applyBorder="1" applyAlignment="1">
      <alignment wrapText="1"/>
    </xf>
    <xf numFmtId="0" fontId="41" fillId="0" borderId="67" xfId="0" applyFont="1" applyBorder="1" applyAlignment="1">
      <alignment wrapText="1"/>
    </xf>
    <xf numFmtId="0" fontId="2" fillId="32" borderId="0" xfId="0" applyFont="1" applyFill="1"/>
    <xf numFmtId="0" fontId="4" fillId="0" borderId="119" xfId="0" applyFont="1" applyBorder="1" applyAlignment="1">
      <alignment vertical="center" wrapText="1"/>
    </xf>
    <xf numFmtId="166" fontId="4" fillId="0" borderId="119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vertical="center" wrapText="1"/>
    </xf>
    <xf numFmtId="166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2" fillId="32" borderId="0" xfId="0" applyFont="1" applyFill="1" applyAlignment="1">
      <alignment vertical="top"/>
    </xf>
    <xf numFmtId="0" fontId="41" fillId="30" borderId="0" xfId="0" applyFont="1" applyFill="1" applyAlignment="1">
      <alignment vertical="top"/>
    </xf>
    <xf numFmtId="167" fontId="56" fillId="0" borderId="0" xfId="32" applyNumberFormat="1" applyFont="1" applyFill="1" applyBorder="1" applyAlignment="1">
      <alignment horizontal="center"/>
    </xf>
    <xf numFmtId="0" fontId="65" fillId="0" borderId="0" xfId="49" applyFont="1" applyAlignment="1">
      <alignment horizontal="center"/>
    </xf>
    <xf numFmtId="3" fontId="66" fillId="0" borderId="1" xfId="49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166" fontId="4" fillId="0" borderId="45" xfId="2" applyNumberFormat="1" applyFont="1" applyFill="1" applyBorder="1" applyAlignment="1">
      <alignment horizontal="center" vertical="center"/>
    </xf>
    <xf numFmtId="0" fontId="126" fillId="0" borderId="0" xfId="0" applyFont="1"/>
    <xf numFmtId="0" fontId="10" fillId="0" borderId="61" xfId="0" applyFont="1" applyBorder="1" applyAlignment="1">
      <alignment horizontal="center"/>
    </xf>
    <xf numFmtId="166" fontId="10" fillId="0" borderId="45" xfId="2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5" xfId="0" applyFont="1" applyBorder="1" applyAlignment="1">
      <alignment horizontal="center"/>
    </xf>
    <xf numFmtId="166" fontId="7" fillId="0" borderId="6" xfId="2" applyNumberFormat="1" applyFont="1" applyFill="1" applyBorder="1" applyAlignment="1">
      <alignment horizontal="center" vertical="center"/>
    </xf>
    <xf numFmtId="166" fontId="10" fillId="0" borderId="6" xfId="2" applyNumberFormat="1" applyFont="1" applyFill="1" applyBorder="1" applyAlignment="1">
      <alignment horizontal="center" vertical="center"/>
    </xf>
    <xf numFmtId="166" fontId="10" fillId="0" borderId="7" xfId="2" applyNumberFormat="1" applyFont="1" applyFill="1" applyBorder="1" applyAlignment="1">
      <alignment horizontal="center" vertical="center"/>
    </xf>
    <xf numFmtId="0" fontId="48" fillId="28" borderId="119" xfId="0" applyFont="1" applyFill="1" applyBorder="1" applyAlignment="1">
      <alignment vertical="center"/>
    </xf>
    <xf numFmtId="6" fontId="48" fillId="28" borderId="119" xfId="0" applyNumberFormat="1" applyFont="1" applyFill="1" applyBorder="1" applyAlignment="1">
      <alignment vertical="center"/>
    </xf>
    <xf numFmtId="6" fontId="0" fillId="28" borderId="0" xfId="0" applyNumberFormat="1" applyFill="1" applyAlignment="1">
      <alignment vertical="center"/>
    </xf>
    <xf numFmtId="167" fontId="0" fillId="0" borderId="0" xfId="0" applyNumberFormat="1"/>
    <xf numFmtId="0" fontId="110" fillId="0" borderId="0" xfId="0" applyFont="1"/>
    <xf numFmtId="0" fontId="66" fillId="0" borderId="123" xfId="49" applyFont="1" applyBorder="1"/>
    <xf numFmtId="0" fontId="66" fillId="0" borderId="124" xfId="49" applyFont="1" applyBorder="1"/>
    <xf numFmtId="0" fontId="66" fillId="0" borderId="126" xfId="49" applyFont="1" applyBorder="1"/>
    <xf numFmtId="0" fontId="72" fillId="0" borderId="123" xfId="49" applyFont="1" applyBorder="1"/>
    <xf numFmtId="166" fontId="70" fillId="26" borderId="128" xfId="59" applyNumberFormat="1" applyFont="1" applyFill="1" applyBorder="1" applyAlignment="1">
      <alignment horizontal="center" vertical="center"/>
    </xf>
    <xf numFmtId="0" fontId="70" fillId="26" borderId="124" xfId="49" applyFont="1" applyFill="1" applyBorder="1"/>
    <xf numFmtId="0" fontId="66" fillId="0" borderId="129" xfId="49" applyFont="1" applyBorder="1"/>
    <xf numFmtId="0" fontId="66" fillId="0" borderId="130" xfId="49" applyFont="1" applyBorder="1"/>
    <xf numFmtId="0" fontId="125" fillId="0" borderId="132" xfId="49" applyFont="1" applyBorder="1" applyAlignment="1">
      <alignment horizontal="center" vertical="center" wrapText="1"/>
    </xf>
    <xf numFmtId="0" fontId="125" fillId="0" borderId="133" xfId="49" applyFont="1" applyBorder="1" applyAlignment="1">
      <alignment horizontal="center" vertical="center" wrapText="1"/>
    </xf>
    <xf numFmtId="0" fontId="57" fillId="0" borderId="0" xfId="67" applyFont="1"/>
    <xf numFmtId="0" fontId="52" fillId="0" borderId="0" xfId="68" applyFont="1" applyAlignment="1">
      <alignment vertical="center"/>
    </xf>
    <xf numFmtId="175" fontId="63" fillId="0" borderId="38" xfId="77" applyNumberFormat="1" applyFont="1" applyFill="1" applyBorder="1" applyAlignment="1">
      <alignment horizontal="right" vertical="center"/>
    </xf>
    <xf numFmtId="175" fontId="63" fillId="0" borderId="88" xfId="77" applyNumberFormat="1" applyFont="1" applyFill="1" applyBorder="1" applyAlignment="1">
      <alignment horizontal="right" vertical="center"/>
    </xf>
    <xf numFmtId="166" fontId="45" fillId="0" borderId="120" xfId="2" applyNumberFormat="1" applyFont="1" applyFill="1" applyBorder="1" applyAlignment="1">
      <alignment horizontal="center" vertical="center" wrapText="1"/>
    </xf>
    <xf numFmtId="176" fontId="64" fillId="28" borderId="35" xfId="49" applyNumberFormat="1" applyFont="1" applyFill="1" applyBorder="1" applyAlignment="1">
      <alignment horizontal="center" vertical="center" wrapText="1"/>
    </xf>
    <xf numFmtId="176" fontId="64" fillId="28" borderId="140" xfId="49" applyNumberFormat="1" applyFont="1" applyFill="1" applyBorder="1" applyAlignment="1">
      <alignment horizontal="center" vertical="center"/>
    </xf>
    <xf numFmtId="176" fontId="64" fillId="28" borderId="140" xfId="49" applyNumberFormat="1" applyFont="1" applyFill="1" applyBorder="1" applyAlignment="1">
      <alignment horizontal="center" vertical="center" wrapText="1"/>
    </xf>
    <xf numFmtId="176" fontId="64" fillId="28" borderId="140" xfId="49" applyNumberFormat="1" applyFont="1" applyFill="1" applyBorder="1" applyAlignment="1">
      <alignment horizontal="left" vertical="center" wrapText="1" indent="1"/>
    </xf>
    <xf numFmtId="49" fontId="63" fillId="28" borderId="140" xfId="49" applyNumberFormat="1" applyFont="1" applyFill="1" applyBorder="1" applyAlignment="1" applyProtection="1">
      <alignment horizontal="center" vertical="center" wrapText="1"/>
      <protection locked="0"/>
    </xf>
    <xf numFmtId="176" fontId="63" fillId="28" borderId="140" xfId="49" applyNumberFormat="1" applyFont="1" applyFill="1" applyBorder="1" applyAlignment="1">
      <alignment vertical="center" wrapText="1"/>
    </xf>
    <xf numFmtId="176" fontId="64" fillId="28" borderId="140" xfId="49" applyNumberFormat="1" applyFont="1" applyFill="1" applyBorder="1" applyAlignment="1">
      <alignment vertical="center" wrapText="1"/>
    </xf>
    <xf numFmtId="169" fontId="0" fillId="0" borderId="141" xfId="0" applyNumberFormat="1" applyBorder="1" applyAlignment="1">
      <alignment horizontal="right" vertical="center"/>
    </xf>
    <xf numFmtId="169" fontId="0" fillId="28" borderId="141" xfId="0" applyNumberFormat="1" applyFill="1" applyBorder="1" applyAlignment="1">
      <alignment horizontal="right" vertical="center"/>
    </xf>
    <xf numFmtId="0" fontId="3" fillId="0" borderId="146" xfId="0" applyFont="1" applyBorder="1" applyAlignment="1">
      <alignment horizontal="center"/>
    </xf>
    <xf numFmtId="0" fontId="8" fillId="0" borderId="146" xfId="0" applyFont="1" applyBorder="1" applyAlignment="1">
      <alignment horizontal="center"/>
    </xf>
    <xf numFmtId="0" fontId="13" fillId="0" borderId="146" xfId="0" applyFont="1" applyBorder="1" applyAlignment="1">
      <alignment horizontal="center"/>
    </xf>
    <xf numFmtId="0" fontId="49" fillId="28" borderId="146" xfId="0" applyFont="1" applyFill="1" applyBorder="1" applyAlignment="1">
      <alignment horizontal="center"/>
    </xf>
    <xf numFmtId="0" fontId="13" fillId="0" borderId="147" xfId="0" applyFont="1" applyBorder="1" applyAlignment="1">
      <alignment horizontal="center"/>
    </xf>
    <xf numFmtId="166" fontId="44" fillId="0" borderId="140" xfId="2" applyNumberFormat="1" applyFont="1" applyFill="1" applyBorder="1" applyAlignment="1">
      <alignment horizontal="center" vertical="center" wrapText="1"/>
    </xf>
    <xf numFmtId="0" fontId="46" fillId="0" borderId="140" xfId="0" applyFont="1" applyBorder="1" applyAlignment="1">
      <alignment horizontal="left" vertical="center" wrapText="1"/>
    </xf>
    <xf numFmtId="166" fontId="44" fillId="24" borderId="120" xfId="2" applyNumberFormat="1" applyFont="1" applyFill="1" applyBorder="1" applyAlignment="1">
      <alignment horizontal="center" vertical="center" wrapText="1"/>
    </xf>
    <xf numFmtId="0" fontId="46" fillId="0" borderId="120" xfId="0" applyFont="1" applyBorder="1" applyAlignment="1">
      <alignment horizontal="left" vertical="center" wrapText="1"/>
    </xf>
    <xf numFmtId="0" fontId="41" fillId="30" borderId="127" xfId="0" applyFont="1" applyFill="1" applyBorder="1"/>
    <xf numFmtId="0" fontId="42" fillId="30" borderId="127" xfId="0" applyFont="1" applyFill="1" applyBorder="1"/>
    <xf numFmtId="0" fontId="45" fillId="30" borderId="127" xfId="0" applyFont="1" applyFill="1" applyBorder="1"/>
    <xf numFmtId="0" fontId="44" fillId="0" borderId="148" xfId="0" applyFont="1" applyBorder="1" applyAlignment="1">
      <alignment horizontal="center" vertical="center" wrapText="1"/>
    </xf>
    <xf numFmtId="166" fontId="44" fillId="0" borderId="148" xfId="2" applyNumberFormat="1" applyFont="1" applyFill="1" applyBorder="1" applyAlignment="1">
      <alignment horizontal="center" vertical="center" wrapText="1"/>
    </xf>
    <xf numFmtId="0" fontId="46" fillId="0" borderId="148" xfId="0" applyFont="1" applyBorder="1" applyAlignment="1">
      <alignment horizontal="left" vertical="center" wrapText="1"/>
    </xf>
    <xf numFmtId="0" fontId="41" fillId="0" borderId="148" xfId="0" applyFont="1" applyBorder="1"/>
    <xf numFmtId="166" fontId="44" fillId="24" borderId="120" xfId="0" applyNumberFormat="1" applyFont="1" applyFill="1" applyBorder="1"/>
    <xf numFmtId="0" fontId="41" fillId="0" borderId="120" xfId="0" applyFont="1" applyBorder="1"/>
    <xf numFmtId="0" fontId="45" fillId="0" borderId="148" xfId="0" applyFont="1" applyBorder="1"/>
    <xf numFmtId="166" fontId="44" fillId="24" borderId="120" xfId="2" applyNumberFormat="1" applyFont="1" applyFill="1" applyBorder="1" applyAlignment="1">
      <alignment vertical="center" wrapText="1"/>
    </xf>
    <xf numFmtId="166" fontId="46" fillId="0" borderId="120" xfId="2" applyNumberFormat="1" applyFont="1" applyFill="1" applyBorder="1" applyAlignment="1">
      <alignment vertical="center" wrapText="1"/>
    </xf>
    <xf numFmtId="0" fontId="46" fillId="0" borderId="148" xfId="0" applyFont="1" applyBorder="1" applyAlignment="1">
      <alignment vertical="center" wrapText="1"/>
    </xf>
    <xf numFmtId="166" fontId="45" fillId="0" borderId="148" xfId="2" applyNumberFormat="1" applyFont="1" applyFill="1" applyBorder="1" applyAlignment="1">
      <alignment vertical="center" wrapText="1"/>
    </xf>
    <xf numFmtId="171" fontId="46" fillId="0" borderId="148" xfId="2" applyNumberFormat="1" applyFont="1" applyFill="1" applyBorder="1" applyAlignment="1">
      <alignment vertical="center" wrapText="1"/>
    </xf>
    <xf numFmtId="166" fontId="44" fillId="24" borderId="115" xfId="2" applyNumberFormat="1" applyFont="1" applyFill="1" applyBorder="1" applyAlignment="1">
      <alignment horizontal="center" vertical="center" wrapText="1"/>
    </xf>
    <xf numFmtId="166" fontId="44" fillId="24" borderId="47" xfId="0" applyNumberFormat="1" applyFont="1" applyFill="1" applyBorder="1"/>
    <xf numFmtId="0" fontId="48" fillId="28" borderId="3" xfId="0" applyFont="1" applyFill="1" applyBorder="1" applyAlignment="1">
      <alignment horizontal="center" vertical="center"/>
    </xf>
    <xf numFmtId="166" fontId="131" fillId="0" borderId="0" xfId="2" applyNumberFormat="1" applyFont="1" applyFill="1"/>
    <xf numFmtId="167" fontId="70" fillId="0" borderId="0" xfId="1" applyNumberFormat="1" applyFont="1"/>
    <xf numFmtId="176" fontId="64" fillId="0" borderId="35" xfId="49" applyNumberFormat="1" applyFont="1" applyBorder="1" applyAlignment="1">
      <alignment horizontal="center" vertical="center" wrapText="1"/>
    </xf>
    <xf numFmtId="49" fontId="63" fillId="0" borderId="140" xfId="49" applyNumberFormat="1" applyFont="1" applyBorder="1" applyAlignment="1" applyProtection="1">
      <alignment horizontal="center" vertical="center" wrapText="1"/>
      <protection locked="0"/>
    </xf>
    <xf numFmtId="176" fontId="63" fillId="0" borderId="37" xfId="49" applyNumberFormat="1" applyFont="1" applyBorder="1" applyAlignment="1">
      <alignment vertical="center" wrapText="1"/>
    </xf>
    <xf numFmtId="175" fontId="63" fillId="0" borderId="88" xfId="77" applyNumberFormat="1" applyFont="1" applyFill="1" applyBorder="1" applyAlignment="1" applyProtection="1">
      <alignment vertical="center"/>
    </xf>
    <xf numFmtId="166" fontId="45" fillId="0" borderId="148" xfId="2" applyNumberFormat="1" applyFont="1" applyFill="1" applyBorder="1" applyAlignment="1">
      <alignment horizontal="center" vertical="center" wrapText="1"/>
    </xf>
    <xf numFmtId="166" fontId="41" fillId="0" borderId="51" xfId="2" applyNumberFormat="1" applyFont="1" applyFill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textRotation="90"/>
    </xf>
    <xf numFmtId="0" fontId="45" fillId="0" borderId="127" xfId="0" applyFont="1" applyBorder="1" applyAlignment="1">
      <alignment horizontal="left" vertical="center" wrapText="1"/>
    </xf>
    <xf numFmtId="166" fontId="44" fillId="0" borderId="148" xfId="2" applyNumberFormat="1" applyFont="1" applyFill="1" applyBorder="1" applyAlignment="1">
      <alignment vertical="center" wrapText="1"/>
    </xf>
    <xf numFmtId="0" fontId="44" fillId="0" borderId="127" xfId="0" applyFont="1" applyBorder="1" applyAlignment="1">
      <alignment horizontal="center" vertical="center" wrapText="1"/>
    </xf>
    <xf numFmtId="171" fontId="46" fillId="0" borderId="150" xfId="2" applyNumberFormat="1" applyFont="1" applyFill="1" applyBorder="1" applyAlignment="1">
      <alignment vertical="center" wrapText="1"/>
    </xf>
    <xf numFmtId="0" fontId="41" fillId="0" borderId="54" xfId="0" applyFont="1" applyBorder="1" applyAlignment="1">
      <alignment vertical="center" wrapText="1"/>
    </xf>
    <xf numFmtId="166" fontId="44" fillId="0" borderId="47" xfId="2" applyNumberFormat="1" applyFont="1" applyFill="1" applyBorder="1" applyAlignment="1">
      <alignment vertical="center"/>
    </xf>
    <xf numFmtId="166" fontId="45" fillId="0" borderId="150" xfId="2" applyNumberFormat="1" applyFont="1" applyFill="1" applyBorder="1" applyAlignment="1">
      <alignment vertical="center" wrapText="1"/>
    </xf>
    <xf numFmtId="0" fontId="46" fillId="0" borderId="150" xfId="0" applyFont="1" applyBorder="1" applyAlignment="1">
      <alignment horizontal="left" vertical="center" wrapText="1"/>
    </xf>
    <xf numFmtId="166" fontId="44" fillId="0" borderId="150" xfId="2" applyNumberFormat="1" applyFont="1" applyFill="1" applyBorder="1" applyAlignment="1">
      <alignment vertical="center" wrapText="1"/>
    </xf>
    <xf numFmtId="0" fontId="56" fillId="0" borderId="0" xfId="67" applyFont="1" applyAlignment="1">
      <alignment horizontal="center"/>
    </xf>
    <xf numFmtId="0" fontId="52" fillId="0" borderId="0" xfId="67" applyFont="1" applyAlignment="1">
      <alignment horizontal="center"/>
    </xf>
    <xf numFmtId="167" fontId="52" fillId="0" borderId="0" xfId="32" applyNumberFormat="1" applyFont="1" applyFill="1" applyBorder="1" applyAlignment="1">
      <alignment horizontal="center"/>
    </xf>
    <xf numFmtId="0" fontId="67" fillId="0" borderId="0" xfId="49" applyFont="1" applyAlignment="1">
      <alignment vertical="center"/>
    </xf>
    <xf numFmtId="0" fontId="41" fillId="0" borderId="67" xfId="0" applyFont="1" applyBorder="1" applyAlignment="1">
      <alignment horizontal="left" vertical="center"/>
    </xf>
    <xf numFmtId="166" fontId="41" fillId="30" borderId="0" xfId="0" applyNumberFormat="1" applyFont="1" applyFill="1"/>
    <xf numFmtId="166" fontId="44" fillId="24" borderId="119" xfId="2" applyNumberFormat="1" applyFont="1" applyFill="1" applyBorder="1" applyAlignment="1">
      <alignment vertical="center" wrapText="1"/>
    </xf>
    <xf numFmtId="166" fontId="132" fillId="0" borderId="0" xfId="0" applyNumberFormat="1" applyFont="1"/>
    <xf numFmtId="172" fontId="0" fillId="0" borderId="0" xfId="0" applyNumberFormat="1"/>
    <xf numFmtId="166" fontId="94" fillId="0" borderId="66" xfId="2" applyNumberFormat="1" applyFont="1" applyBorder="1"/>
    <xf numFmtId="44" fontId="0" fillId="28" borderId="0" xfId="2" applyFont="1" applyFill="1"/>
    <xf numFmtId="0" fontId="56" fillId="0" borderId="122" xfId="68" applyFont="1" applyBorder="1" applyAlignment="1">
      <alignment horizontal="center" vertical="center" wrapText="1"/>
    </xf>
    <xf numFmtId="167" fontId="56" fillId="0" borderId="119" xfId="32" applyNumberFormat="1" applyFont="1" applyBorder="1" applyAlignment="1">
      <alignment horizontal="center" wrapText="1"/>
    </xf>
    <xf numFmtId="0" fontId="56" fillId="0" borderId="150" xfId="68" applyFont="1" applyBorder="1" applyAlignment="1">
      <alignment horizontal="center"/>
    </xf>
    <xf numFmtId="0" fontId="56" fillId="0" borderId="119" xfId="68" applyFont="1" applyBorder="1" applyAlignment="1">
      <alignment horizontal="center" vertical="center" wrapText="1"/>
    </xf>
    <xf numFmtId="0" fontId="56" fillId="0" borderId="127" xfId="68" applyFont="1" applyBorder="1" applyAlignment="1">
      <alignment horizontal="center"/>
    </xf>
    <xf numFmtId="0" fontId="52" fillId="0" borderId="119" xfId="68" applyFont="1" applyBorder="1" applyAlignment="1">
      <alignment vertical="center"/>
    </xf>
    <xf numFmtId="166" fontId="52" fillId="0" borderId="119" xfId="59" applyNumberFormat="1" applyFont="1" applyBorder="1" applyAlignment="1">
      <alignment vertical="center"/>
    </xf>
    <xf numFmtId="9" fontId="52" fillId="0" borderId="119" xfId="69" applyFont="1" applyBorder="1" applyAlignment="1">
      <alignment vertical="center"/>
    </xf>
    <xf numFmtId="166" fontId="52" fillId="0" borderId="119" xfId="59" applyNumberFormat="1" applyFont="1" applyBorder="1" applyAlignment="1">
      <alignment horizontal="center" vertical="center"/>
    </xf>
    <xf numFmtId="14" fontId="52" fillId="0" borderId="119" xfId="68" applyNumberFormat="1" applyFont="1" applyBorder="1" applyAlignment="1">
      <alignment horizontal="center" vertical="center"/>
    </xf>
    <xf numFmtId="0" fontId="52" fillId="0" borderId="119" xfId="68" applyFont="1" applyBorder="1" applyAlignment="1">
      <alignment horizontal="center" vertical="center"/>
    </xf>
    <xf numFmtId="49" fontId="52" fillId="0" borderId="119" xfId="68" applyNumberFormat="1" applyFont="1" applyBorder="1" applyAlignment="1">
      <alignment horizontal="center" vertical="center"/>
    </xf>
    <xf numFmtId="0" fontId="52" fillId="0" borderId="119" xfId="68" applyFont="1" applyBorder="1" applyAlignment="1">
      <alignment vertical="center" wrapText="1"/>
    </xf>
    <xf numFmtId="166" fontId="52" fillId="0" borderId="119" xfId="59" applyNumberFormat="1" applyFont="1" applyBorder="1" applyAlignment="1">
      <alignment horizontal="left" vertical="center" wrapText="1"/>
    </xf>
    <xf numFmtId="14" fontId="52" fillId="0" borderId="119" xfId="68" applyNumberFormat="1" applyFont="1" applyBorder="1" applyAlignment="1">
      <alignment horizontal="center" vertical="center" wrapText="1"/>
    </xf>
    <xf numFmtId="179" fontId="52" fillId="0" borderId="119" xfId="131" applyNumberFormat="1" applyFont="1" applyBorder="1" applyAlignment="1">
      <alignment horizontal="center" vertical="center"/>
    </xf>
    <xf numFmtId="10" fontId="52" fillId="0" borderId="119" xfId="131" applyNumberFormat="1" applyFont="1" applyBorder="1" applyAlignment="1">
      <alignment horizontal="center" vertical="center"/>
    </xf>
    <xf numFmtId="166" fontId="56" fillId="0" borderId="119" xfId="59" applyNumberFormat="1" applyFont="1" applyFill="1" applyBorder="1" applyAlignment="1">
      <alignment horizontal="center" vertical="center"/>
    </xf>
    <xf numFmtId="9" fontId="56" fillId="0" borderId="119" xfId="69" applyFont="1" applyFill="1" applyBorder="1" applyAlignment="1">
      <alignment horizontal="center" vertical="center"/>
    </xf>
    <xf numFmtId="167" fontId="56" fillId="0" borderId="119" xfId="32" applyNumberFormat="1" applyFont="1" applyFill="1" applyBorder="1" applyAlignment="1">
      <alignment horizontal="center" vertical="center"/>
    </xf>
    <xf numFmtId="14" fontId="56" fillId="0" borderId="119" xfId="68" applyNumberFormat="1" applyFont="1" applyBorder="1" applyAlignment="1">
      <alignment horizontal="center" vertical="center"/>
    </xf>
    <xf numFmtId="0" fontId="56" fillId="0" borderId="119" xfId="68" applyFont="1" applyBorder="1" applyAlignment="1">
      <alignment vertical="center"/>
    </xf>
    <xf numFmtId="0" fontId="127" fillId="0" borderId="119" xfId="49" applyFont="1" applyBorder="1" applyAlignment="1">
      <alignment horizontal="center" vertical="center" wrapText="1"/>
    </xf>
    <xf numFmtId="0" fontId="125" fillId="0" borderId="119" xfId="49" applyFont="1" applyBorder="1" applyAlignment="1">
      <alignment horizontal="center" vertical="center" wrapText="1"/>
    </xf>
    <xf numFmtId="0" fontId="80" fillId="28" borderId="146" xfId="72" applyFill="1" applyBorder="1" applyAlignment="1">
      <alignment horizontal="center" vertical="center"/>
    </xf>
    <xf numFmtId="0" fontId="80" fillId="28" borderId="45" xfId="72" applyFill="1" applyBorder="1" applyAlignment="1">
      <alignment horizontal="left" vertical="center" wrapText="1" indent="1"/>
    </xf>
    <xf numFmtId="166" fontId="90" fillId="28" borderId="63" xfId="2" applyNumberFormat="1" applyFont="1" applyFill="1" applyBorder="1" applyAlignment="1" applyProtection="1">
      <alignment horizontal="right" vertical="center"/>
      <protection locked="0"/>
    </xf>
    <xf numFmtId="166" fontId="90" fillId="28" borderId="63" xfId="2" applyNumberFormat="1" applyFont="1" applyFill="1" applyBorder="1" applyAlignment="1">
      <alignment vertical="center"/>
    </xf>
    <xf numFmtId="166" fontId="90" fillId="28" borderId="151" xfId="2" applyNumberFormat="1" applyFont="1" applyFill="1" applyBorder="1" applyAlignment="1">
      <alignment vertical="center"/>
    </xf>
    <xf numFmtId="0" fontId="78" fillId="0" borderId="131" xfId="49" applyFont="1" applyBorder="1" applyAlignment="1">
      <alignment horizontal="center" vertical="center" wrapText="1"/>
    </xf>
    <xf numFmtId="0" fontId="63" fillId="25" borderId="25" xfId="49" applyFont="1" applyFill="1" applyBorder="1"/>
    <xf numFmtId="0" fontId="100" fillId="25" borderId="53" xfId="76" applyFont="1" applyFill="1" applyBorder="1"/>
    <xf numFmtId="0" fontId="101" fillId="25" borderId="155" xfId="76" applyFont="1" applyFill="1" applyBorder="1" applyAlignment="1">
      <alignment horizontal="center" vertical="center" textRotation="90"/>
    </xf>
    <xf numFmtId="0" fontId="101" fillId="25" borderId="158" xfId="76" applyFont="1" applyFill="1" applyBorder="1" applyAlignment="1">
      <alignment horizontal="center" vertical="center" wrapText="1"/>
    </xf>
    <xf numFmtId="0" fontId="101" fillId="25" borderId="159" xfId="76" applyFont="1" applyFill="1" applyBorder="1" applyAlignment="1">
      <alignment horizontal="center" vertical="center" wrapText="1"/>
    </xf>
    <xf numFmtId="0" fontId="101" fillId="25" borderId="160" xfId="76" applyFont="1" applyFill="1" applyBorder="1" applyAlignment="1">
      <alignment horizontal="center" vertical="center"/>
    </xf>
    <xf numFmtId="175" fontId="63" fillId="0" borderId="101" xfId="77" applyNumberFormat="1" applyFont="1" applyFill="1" applyBorder="1" applyAlignment="1" applyProtection="1">
      <alignment vertical="center"/>
    </xf>
    <xf numFmtId="0" fontId="101" fillId="25" borderId="164" xfId="76" applyFont="1" applyFill="1" applyBorder="1" applyAlignment="1">
      <alignment horizontal="center" vertical="center"/>
    </xf>
    <xf numFmtId="175" fontId="102" fillId="25" borderId="165" xfId="77" applyNumberFormat="1" applyFont="1" applyFill="1" applyBorder="1" applyAlignment="1" applyProtection="1">
      <alignment vertical="center"/>
    </xf>
    <xf numFmtId="0" fontId="101" fillId="25" borderId="166" xfId="76" applyFont="1" applyFill="1" applyBorder="1" applyAlignment="1">
      <alignment horizontal="center" vertical="center"/>
    </xf>
    <xf numFmtId="175" fontId="100" fillId="25" borderId="159" xfId="76" applyNumberFormat="1" applyFont="1" applyFill="1" applyBorder="1" applyAlignment="1">
      <alignment horizontal="left" vertical="center"/>
    </xf>
    <xf numFmtId="0" fontId="101" fillId="25" borderId="53" xfId="76" applyFont="1" applyFill="1" applyBorder="1" applyAlignment="1">
      <alignment horizontal="center"/>
    </xf>
    <xf numFmtId="0" fontId="101" fillId="25" borderId="0" xfId="76" applyFont="1" applyFill="1" applyAlignment="1">
      <alignment horizontal="center"/>
    </xf>
    <xf numFmtId="0" fontId="101" fillId="25" borderId="170" xfId="76" applyFont="1" applyFill="1" applyBorder="1" applyAlignment="1">
      <alignment horizontal="left"/>
    </xf>
    <xf numFmtId="0" fontId="100" fillId="25" borderId="170" xfId="76" applyFont="1" applyFill="1" applyBorder="1"/>
    <xf numFmtId="0" fontId="101" fillId="25" borderId="171" xfId="76" applyFont="1" applyFill="1" applyBorder="1" applyAlignment="1">
      <alignment horizontal="center" vertical="center" wrapText="1"/>
    </xf>
    <xf numFmtId="0" fontId="101" fillId="25" borderId="172" xfId="76" applyFont="1" applyFill="1" applyBorder="1" applyAlignment="1">
      <alignment horizontal="center" vertical="center"/>
    </xf>
    <xf numFmtId="175" fontId="102" fillId="25" borderId="172" xfId="77" applyNumberFormat="1" applyFont="1" applyFill="1" applyBorder="1" applyAlignment="1" applyProtection="1">
      <alignment vertical="center"/>
    </xf>
    <xf numFmtId="175" fontId="63" fillId="0" borderId="172" xfId="77" applyNumberFormat="1" applyFont="1" applyFill="1" applyBorder="1" applyAlignment="1">
      <alignment horizontal="right" vertical="center"/>
    </xf>
    <xf numFmtId="175" fontId="64" fillId="25" borderId="127" xfId="77" applyNumberFormat="1" applyFont="1" applyFill="1" applyBorder="1" applyAlignment="1">
      <alignment horizontal="right" vertical="center"/>
    </xf>
    <xf numFmtId="0" fontId="63" fillId="25" borderId="175" xfId="78" applyFont="1" applyFill="1" applyBorder="1" applyAlignment="1">
      <alignment horizontal="center" vertical="center"/>
    </xf>
    <xf numFmtId="175" fontId="103" fillId="25" borderId="125" xfId="77" applyNumberFormat="1" applyFont="1" applyFill="1" applyBorder="1" applyAlignment="1" applyProtection="1">
      <alignment vertical="center"/>
    </xf>
    <xf numFmtId="175" fontId="63" fillId="25" borderId="125" xfId="77" applyNumberFormat="1" applyFont="1" applyFill="1" applyBorder="1" applyAlignment="1" applyProtection="1">
      <alignment vertical="center"/>
    </xf>
    <xf numFmtId="0" fontId="54" fillId="0" borderId="7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2" fontId="0" fillId="28" borderId="177" xfId="0" applyNumberFormat="1" applyFill="1" applyBorder="1" applyAlignment="1">
      <alignment horizontal="center" vertical="center"/>
    </xf>
    <xf numFmtId="42" fontId="0" fillId="28" borderId="178" xfId="0" applyNumberFormat="1" applyFill="1" applyBorder="1" applyAlignment="1">
      <alignment horizontal="center" vertical="center"/>
    </xf>
    <xf numFmtId="42" fontId="0" fillId="0" borderId="178" xfId="0" applyNumberFormat="1" applyBorder="1" applyAlignment="1">
      <alignment horizontal="center" vertical="center"/>
    </xf>
    <xf numFmtId="0" fontId="0" fillId="0" borderId="177" xfId="0" applyBorder="1"/>
    <xf numFmtId="0" fontId="0" fillId="0" borderId="177" xfId="0" applyBorder="1" applyAlignment="1">
      <alignment vertical="center" wrapText="1"/>
    </xf>
    <xf numFmtId="169" fontId="0" fillId="28" borderId="177" xfId="0" applyNumberFormat="1" applyFill="1" applyBorder="1" applyAlignment="1">
      <alignment vertical="center"/>
    </xf>
    <xf numFmtId="0" fontId="0" fillId="0" borderId="180" xfId="0" applyBorder="1" applyAlignment="1">
      <alignment vertical="center" wrapText="1"/>
    </xf>
    <xf numFmtId="0" fontId="0" fillId="0" borderId="180" xfId="0" applyBorder="1" applyAlignment="1">
      <alignment vertical="center"/>
    </xf>
    <xf numFmtId="0" fontId="0" fillId="0" borderId="177" xfId="0" applyBorder="1" applyAlignment="1">
      <alignment vertical="center"/>
    </xf>
    <xf numFmtId="0" fontId="0" fillId="0" borderId="179" xfId="0" applyBorder="1" applyAlignment="1">
      <alignment vertical="center"/>
    </xf>
    <xf numFmtId="0" fontId="0" fillId="0" borderId="177" xfId="0" applyBorder="1" applyAlignment="1">
      <alignment horizontal="left" vertical="center" wrapText="1"/>
    </xf>
    <xf numFmtId="169" fontId="0" fillId="0" borderId="177" xfId="0" applyNumberFormat="1" applyBorder="1" applyAlignment="1">
      <alignment horizontal="right" vertical="center"/>
    </xf>
    <xf numFmtId="0" fontId="0" fillId="0" borderId="150" xfId="0" applyBorder="1" applyAlignment="1">
      <alignment horizontal="left" vertical="center" wrapText="1"/>
    </xf>
    <xf numFmtId="169" fontId="0" fillId="0" borderId="150" xfId="0" applyNumberFormat="1" applyBorder="1" applyAlignment="1">
      <alignment horizontal="right" vertical="center"/>
    </xf>
    <xf numFmtId="0" fontId="0" fillId="0" borderId="150" xfId="0" applyBorder="1" applyAlignment="1">
      <alignment horizontal="left" vertical="center"/>
    </xf>
    <xf numFmtId="0" fontId="0" fillId="0" borderId="177" xfId="0" applyBorder="1" applyAlignment="1">
      <alignment horizontal="left" vertical="center"/>
    </xf>
    <xf numFmtId="169" fontId="0" fillId="0" borderId="177" xfId="0" applyNumberFormat="1" applyBorder="1" applyAlignment="1">
      <alignment vertical="center"/>
    </xf>
    <xf numFmtId="42" fontId="0" fillId="0" borderId="177" xfId="0" applyNumberFormat="1" applyBorder="1" applyAlignment="1">
      <alignment vertical="center"/>
    </xf>
    <xf numFmtId="42" fontId="0" fillId="0" borderId="177" xfId="0" applyNumberFormat="1" applyBorder="1" applyAlignment="1">
      <alignment horizontal="center" vertical="center"/>
    </xf>
    <xf numFmtId="166" fontId="0" fillId="0" borderId="177" xfId="2" applyNumberFormat="1" applyFont="1" applyFill="1" applyBorder="1" applyAlignment="1">
      <alignment horizontal="center" vertical="center"/>
    </xf>
    <xf numFmtId="169" fontId="54" fillId="0" borderId="72" xfId="0" applyNumberFormat="1" applyFont="1" applyBorder="1" applyAlignment="1">
      <alignment vertical="center"/>
    </xf>
    <xf numFmtId="0" fontId="54" fillId="0" borderId="177" xfId="0" applyFont="1" applyBorder="1" applyAlignment="1">
      <alignment horizontal="center" vertical="center" wrapText="1"/>
    </xf>
    <xf numFmtId="166" fontId="0" fillId="0" borderId="177" xfId="2" applyNumberFormat="1" applyFont="1" applyBorder="1"/>
    <xf numFmtId="42" fontId="54" fillId="0" borderId="177" xfId="0" applyNumberFormat="1" applyFont="1" applyBorder="1" applyAlignment="1">
      <alignment horizontal="center" vertical="center"/>
    </xf>
    <xf numFmtId="0" fontId="119" fillId="0" borderId="0" xfId="0" applyFont="1" applyAlignment="1">
      <alignment horizontal="left" wrapText="1"/>
    </xf>
    <xf numFmtId="0" fontId="119" fillId="0" borderId="0" xfId="0" applyFont="1" applyAlignment="1">
      <alignment wrapText="1"/>
    </xf>
    <xf numFmtId="42" fontId="0" fillId="0" borderId="60" xfId="0" applyNumberFormat="1" applyBorder="1" applyAlignment="1">
      <alignment horizontal="center" vertical="center" wrapText="1"/>
    </xf>
    <xf numFmtId="0" fontId="0" fillId="0" borderId="179" xfId="0" applyBorder="1" applyAlignment="1">
      <alignment vertical="center" wrapText="1"/>
    </xf>
    <xf numFmtId="169" fontId="0" fillId="0" borderId="177" xfId="0" applyNumberFormat="1" applyBorder="1" applyAlignment="1">
      <alignment horizontal="right" vertical="center" wrapText="1"/>
    </xf>
    <xf numFmtId="169" fontId="0" fillId="0" borderId="150" xfId="0" applyNumberFormat="1" applyBorder="1" applyAlignment="1">
      <alignment horizontal="right" vertical="center" wrapText="1"/>
    </xf>
    <xf numFmtId="169" fontId="0" fillId="28" borderId="141" xfId="0" applyNumberFormat="1" applyFill="1" applyBorder="1" applyAlignment="1">
      <alignment horizontal="right" vertical="center" wrapText="1"/>
    </xf>
    <xf numFmtId="169" fontId="54" fillId="0" borderId="78" xfId="0" applyNumberFormat="1" applyFont="1" applyBorder="1" applyAlignment="1">
      <alignment horizontal="right" vertical="center" wrapText="1"/>
    </xf>
    <xf numFmtId="169" fontId="54" fillId="28" borderId="78" xfId="0" applyNumberFormat="1" applyFont="1" applyFill="1" applyBorder="1" applyAlignment="1">
      <alignment horizontal="right" vertical="center" wrapText="1"/>
    </xf>
    <xf numFmtId="169" fontId="54" fillId="28" borderId="80" xfId="0" applyNumberFormat="1" applyFont="1" applyFill="1" applyBorder="1" applyAlignment="1">
      <alignment horizontal="right" vertical="center" wrapText="1"/>
    </xf>
    <xf numFmtId="0" fontId="105" fillId="31" borderId="177" xfId="0" applyFont="1" applyFill="1" applyBorder="1" applyAlignment="1">
      <alignment horizontal="center" vertical="center" wrapText="1"/>
    </xf>
    <xf numFmtId="0" fontId="53" fillId="0" borderId="177" xfId="0" applyFont="1" applyBorder="1" applyAlignment="1">
      <alignment horizontal="left" vertical="center" wrapText="1"/>
    </xf>
    <xf numFmtId="0" fontId="53" fillId="0" borderId="177" xfId="0" applyFont="1" applyBorder="1" applyAlignment="1">
      <alignment horizontal="center" vertical="center" wrapText="1"/>
    </xf>
    <xf numFmtId="0" fontId="105" fillId="0" borderId="177" xfId="0" applyFont="1" applyBorder="1" applyAlignment="1">
      <alignment horizontal="center" vertical="center" wrapText="1"/>
    </xf>
    <xf numFmtId="177" fontId="105" fillId="0" borderId="177" xfId="0" applyNumberFormat="1" applyFont="1" applyBorder="1" applyAlignment="1">
      <alignment horizontal="center" vertical="center" wrapText="1"/>
    </xf>
    <xf numFmtId="0" fontId="96" fillId="31" borderId="177" xfId="0" applyFont="1" applyFill="1" applyBorder="1" applyAlignment="1">
      <alignment horizontal="center" vertical="center" wrapText="1"/>
    </xf>
    <xf numFmtId="14" fontId="105" fillId="31" borderId="177" xfId="0" applyNumberFormat="1" applyFont="1" applyFill="1" applyBorder="1" applyAlignment="1">
      <alignment horizontal="center" vertical="center" wrapText="1"/>
    </xf>
    <xf numFmtId="49" fontId="105" fillId="31" borderId="177" xfId="0" applyNumberFormat="1" applyFont="1" applyFill="1" applyBorder="1" applyAlignment="1">
      <alignment horizontal="center" vertical="center" wrapText="1"/>
    </xf>
    <xf numFmtId="4" fontId="105" fillId="0" borderId="177" xfId="0" applyNumberFormat="1" applyFont="1" applyBorder="1" applyAlignment="1">
      <alignment horizontal="center" vertical="center" wrapText="1"/>
    </xf>
    <xf numFmtId="176" fontId="102" fillId="0" borderId="140" xfId="49" applyNumberFormat="1" applyFont="1" applyBorder="1" applyAlignment="1" applyProtection="1">
      <alignment horizontal="left" vertical="center" wrapText="1" indent="1"/>
      <protection locked="0"/>
    </xf>
    <xf numFmtId="176" fontId="63" fillId="0" borderId="140" xfId="49" applyNumberFormat="1" applyFont="1" applyBorder="1" applyAlignment="1" applyProtection="1">
      <alignment vertical="center" wrapText="1"/>
      <protection locked="0"/>
    </xf>
    <xf numFmtId="167" fontId="23" fillId="0" borderId="0" xfId="1" applyNumberFormat="1" applyFont="1" applyFill="1"/>
    <xf numFmtId="167" fontId="48" fillId="0" borderId="177" xfId="1" applyNumberFormat="1" applyFont="1" applyFill="1" applyBorder="1" applyAlignment="1">
      <alignment horizontal="center" vertical="center" wrapText="1"/>
    </xf>
    <xf numFmtId="167" fontId="51" fillId="0" borderId="177" xfId="1" applyNumberFormat="1" applyFont="1" applyFill="1" applyBorder="1" applyAlignment="1">
      <alignment vertical="center" wrapText="1"/>
    </xf>
    <xf numFmtId="0" fontId="51" fillId="0" borderId="177" xfId="0" applyFont="1" applyBorder="1" applyAlignment="1">
      <alignment vertical="center" wrapText="1"/>
    </xf>
    <xf numFmtId="0" fontId="48" fillId="0" borderId="177" xfId="0" applyFont="1" applyBorder="1" applyAlignment="1">
      <alignment vertical="center" wrapText="1"/>
    </xf>
    <xf numFmtId="0" fontId="97" fillId="0" borderId="177" xfId="0" applyFont="1" applyBorder="1" applyAlignment="1">
      <alignment vertical="center" wrapText="1"/>
    </xf>
    <xf numFmtId="167" fontId="48" fillId="0" borderId="177" xfId="1" applyNumberFormat="1" applyFont="1" applyFill="1" applyBorder="1" applyAlignment="1">
      <alignment vertical="center" wrapText="1"/>
    </xf>
    <xf numFmtId="167" fontId="0" fillId="0" borderId="177" xfId="1" applyNumberFormat="1" applyFont="1" applyFill="1" applyBorder="1" applyProtection="1">
      <protection locked="0"/>
    </xf>
    <xf numFmtId="167" fontId="50" fillId="0" borderId="177" xfId="1" applyNumberFormat="1" applyFont="1" applyFill="1" applyBorder="1" applyAlignment="1">
      <alignment vertical="center" wrapText="1"/>
    </xf>
    <xf numFmtId="167" fontId="122" fillId="0" borderId="177" xfId="1" applyNumberFormat="1" applyFont="1" applyFill="1" applyBorder="1" applyAlignment="1">
      <alignment vertical="center" wrapText="1"/>
    </xf>
    <xf numFmtId="0" fontId="51" fillId="0" borderId="177" xfId="0" applyFont="1" applyBorder="1" applyAlignment="1">
      <alignment horizontal="left" vertical="center" wrapText="1"/>
    </xf>
    <xf numFmtId="0" fontId="97" fillId="0" borderId="177" xfId="0" applyFont="1" applyBorder="1" applyAlignment="1">
      <alignment horizontal="center" vertical="center" wrapText="1"/>
    </xf>
    <xf numFmtId="0" fontId="123" fillId="0" borderId="177" xfId="0" applyFont="1" applyBorder="1" applyAlignment="1">
      <alignment vertical="center" wrapText="1"/>
    </xf>
    <xf numFmtId="0" fontId="124" fillId="0" borderId="177" xfId="0" applyFont="1" applyBorder="1" applyAlignment="1">
      <alignment vertical="center" wrapText="1"/>
    </xf>
    <xf numFmtId="167" fontId="123" fillId="0" borderId="177" xfId="1" applyNumberFormat="1" applyFont="1" applyFill="1" applyBorder="1" applyAlignment="1">
      <alignment vertical="center" wrapText="1"/>
    </xf>
    <xf numFmtId="0" fontId="98" fillId="0" borderId="177" xfId="0" applyFont="1" applyBorder="1" applyAlignment="1">
      <alignment vertical="center" wrapText="1"/>
    </xf>
    <xf numFmtId="0" fontId="117" fillId="0" borderId="177" xfId="74" applyFont="1" applyBorder="1" applyAlignment="1">
      <alignment vertical="center" wrapText="1"/>
    </xf>
    <xf numFmtId="0" fontId="115" fillId="0" borderId="177" xfId="74" applyFont="1" applyBorder="1" applyAlignment="1">
      <alignment vertical="center" wrapText="1"/>
    </xf>
    <xf numFmtId="0" fontId="117" fillId="0" borderId="177" xfId="74" quotePrefix="1" applyFont="1" applyBorder="1" applyAlignment="1">
      <alignment vertical="center" wrapText="1"/>
    </xf>
    <xf numFmtId="0" fontId="48" fillId="28" borderId="177" xfId="0" applyFont="1" applyFill="1" applyBorder="1" applyAlignment="1">
      <alignment vertical="center"/>
    </xf>
    <xf numFmtId="6" fontId="48" fillId="28" borderId="177" xfId="0" applyNumberFormat="1" applyFont="1" applyFill="1" applyBorder="1" applyAlignment="1">
      <alignment vertical="center"/>
    </xf>
    <xf numFmtId="167" fontId="56" fillId="0" borderId="119" xfId="32" applyNumberFormat="1" applyFont="1" applyBorder="1" applyAlignment="1">
      <alignment horizontal="center" vertical="center" wrapText="1"/>
    </xf>
    <xf numFmtId="0" fontId="100" fillId="25" borderId="135" xfId="76" applyFont="1" applyFill="1" applyBorder="1"/>
    <xf numFmtId="0" fontId="63" fillId="25" borderId="135" xfId="76" applyFont="1" applyFill="1" applyBorder="1"/>
    <xf numFmtId="0" fontId="63" fillId="28" borderId="135" xfId="49" applyFont="1" applyFill="1" applyBorder="1" applyAlignment="1">
      <alignment horizontal="right"/>
    </xf>
    <xf numFmtId="0" fontId="0" fillId="24" borderId="0" xfId="0" applyFill="1"/>
    <xf numFmtId="166" fontId="6" fillId="24" borderId="87" xfId="2" applyNumberFormat="1" applyFont="1" applyFill="1" applyBorder="1" applyAlignment="1">
      <alignment horizontal="center" vertical="center"/>
    </xf>
    <xf numFmtId="166" fontId="12" fillId="24" borderId="87" xfId="2" applyNumberFormat="1" applyFont="1" applyFill="1" applyBorder="1" applyAlignment="1">
      <alignment horizontal="center" vertical="center"/>
    </xf>
    <xf numFmtId="166" fontId="57" fillId="24" borderId="87" xfId="2" applyNumberFormat="1" applyFont="1" applyFill="1" applyBorder="1" applyAlignment="1">
      <alignment horizontal="center" vertical="center"/>
    </xf>
    <xf numFmtId="166" fontId="6" fillId="24" borderId="88" xfId="2" applyNumberFormat="1" applyFont="1" applyFill="1" applyBorder="1" applyAlignment="1">
      <alignment horizontal="center" vertical="center"/>
    </xf>
    <xf numFmtId="166" fontId="4" fillId="0" borderId="45" xfId="2" applyNumberFormat="1" applyFont="1" applyFill="1" applyBorder="1" applyAlignment="1">
      <alignment vertical="center"/>
    </xf>
    <xf numFmtId="166" fontId="5" fillId="0" borderId="89" xfId="2" applyNumberFormat="1" applyFont="1" applyFill="1" applyBorder="1" applyAlignment="1">
      <alignment vertical="center" wrapText="1"/>
    </xf>
    <xf numFmtId="166" fontId="5" fillId="0" borderId="65" xfId="2" applyNumberFormat="1" applyFont="1" applyFill="1" applyBorder="1" applyAlignment="1">
      <alignment vertical="center" wrapText="1"/>
    </xf>
    <xf numFmtId="166" fontId="11" fillId="0" borderId="65" xfId="2" applyNumberFormat="1" applyFont="1" applyFill="1" applyBorder="1" applyAlignment="1">
      <alignment vertical="center" wrapText="1"/>
    </xf>
    <xf numFmtId="166" fontId="14" fillId="0" borderId="65" xfId="2" applyNumberFormat="1" applyFont="1" applyFill="1" applyBorder="1" applyAlignment="1">
      <alignment vertical="center" wrapText="1"/>
    </xf>
    <xf numFmtId="166" fontId="4" fillId="0" borderId="65" xfId="2" applyNumberFormat="1" applyFont="1" applyFill="1" applyBorder="1" applyAlignment="1">
      <alignment vertical="center"/>
    </xf>
    <xf numFmtId="0" fontId="45" fillId="0" borderId="177" xfId="0" applyFont="1" applyBorder="1" applyAlignment="1">
      <alignment horizontal="left" vertical="center" wrapText="1"/>
    </xf>
    <xf numFmtId="166" fontId="45" fillId="0" borderId="178" xfId="2" applyNumberFormat="1" applyFont="1" applyFill="1" applyBorder="1" applyAlignment="1">
      <alignment horizontal="center" vertical="center" wrapText="1"/>
    </xf>
    <xf numFmtId="10" fontId="52" fillId="0" borderId="119" xfId="69" applyNumberFormat="1" applyFont="1" applyBorder="1" applyAlignment="1">
      <alignment vertical="center"/>
    </xf>
    <xf numFmtId="0" fontId="136" fillId="0" borderId="185" xfId="0" applyFont="1" applyBorder="1" applyAlignment="1">
      <alignment horizontal="center" vertical="top" wrapText="1"/>
    </xf>
    <xf numFmtId="0" fontId="136" fillId="0" borderId="186" xfId="0" applyFont="1" applyBorder="1" applyAlignment="1">
      <alignment horizontal="left" vertical="top" wrapText="1"/>
    </xf>
    <xf numFmtId="0" fontId="136" fillId="0" borderId="188" xfId="0" applyFont="1" applyBorder="1" applyAlignment="1">
      <alignment horizontal="center" vertical="top" wrapText="1"/>
    </xf>
    <xf numFmtId="0" fontId="136" fillId="0" borderId="189" xfId="0" applyFont="1" applyBorder="1" applyAlignment="1">
      <alignment horizontal="left" vertical="top" wrapText="1"/>
    </xf>
    <xf numFmtId="0" fontId="137" fillId="0" borderId="188" xfId="0" applyFont="1" applyBorder="1" applyAlignment="1">
      <alignment horizontal="center" vertical="top" wrapText="1"/>
    </xf>
    <xf numFmtId="0" fontId="137" fillId="0" borderId="189" xfId="0" applyFont="1" applyBorder="1" applyAlignment="1">
      <alignment horizontal="left" vertical="top" wrapText="1"/>
    </xf>
    <xf numFmtId="0" fontId="137" fillId="0" borderId="191" xfId="0" applyFont="1" applyBorder="1" applyAlignment="1">
      <alignment horizontal="center" vertical="top" wrapText="1"/>
    </xf>
    <xf numFmtId="0" fontId="137" fillId="0" borderId="192" xfId="0" applyFont="1" applyBorder="1" applyAlignment="1">
      <alignment horizontal="left" vertical="top" wrapText="1"/>
    </xf>
    <xf numFmtId="0" fontId="138" fillId="0" borderId="2" xfId="0" applyFont="1" applyBorder="1" applyAlignment="1">
      <alignment horizontal="center" vertical="center" wrapText="1"/>
    </xf>
    <xf numFmtId="0" fontId="138" fillId="0" borderId="3" xfId="0" applyFont="1" applyBorder="1" applyAlignment="1">
      <alignment horizontal="left" vertical="center" wrapText="1"/>
    </xf>
    <xf numFmtId="0" fontId="138" fillId="0" borderId="188" xfId="0" applyFont="1" applyBorder="1" applyAlignment="1">
      <alignment horizontal="center" vertical="center" wrapText="1"/>
    </xf>
    <xf numFmtId="0" fontId="138" fillId="0" borderId="189" xfId="0" applyFont="1" applyBorder="1" applyAlignment="1">
      <alignment horizontal="left" vertical="center" wrapText="1"/>
    </xf>
    <xf numFmtId="0" fontId="139" fillId="0" borderId="188" xfId="0" applyFont="1" applyBorder="1" applyAlignment="1">
      <alignment horizontal="center" vertical="center" wrapText="1"/>
    </xf>
    <xf numFmtId="0" fontId="139" fillId="0" borderId="189" xfId="0" applyFont="1" applyBorder="1" applyAlignment="1">
      <alignment horizontal="left" vertical="center" wrapText="1"/>
    </xf>
    <xf numFmtId="0" fontId="139" fillId="0" borderId="191" xfId="0" applyFont="1" applyBorder="1" applyAlignment="1">
      <alignment horizontal="center" vertical="center" wrapText="1"/>
    </xf>
    <xf numFmtId="0" fontId="139" fillId="0" borderId="192" xfId="0" applyFont="1" applyBorder="1" applyAlignment="1">
      <alignment horizontal="left" vertical="center" wrapText="1"/>
    </xf>
    <xf numFmtId="166" fontId="138" fillId="0" borderId="3" xfId="2" applyNumberFormat="1" applyFont="1" applyFill="1" applyBorder="1" applyAlignment="1">
      <alignment horizontal="right" vertical="center" wrapText="1"/>
    </xf>
    <xf numFmtId="166" fontId="138" fillId="0" borderId="4" xfId="2" applyNumberFormat="1" applyFont="1" applyFill="1" applyBorder="1" applyAlignment="1">
      <alignment horizontal="right" vertical="center" wrapText="1"/>
    </xf>
    <xf numFmtId="166" fontId="138" fillId="0" borderId="189" xfId="2" applyNumberFormat="1" applyFont="1" applyFill="1" applyBorder="1" applyAlignment="1">
      <alignment horizontal="right" vertical="center" wrapText="1"/>
    </xf>
    <xf numFmtId="166" fontId="138" fillId="0" borderId="190" xfId="2" applyNumberFormat="1" applyFont="1" applyFill="1" applyBorder="1" applyAlignment="1">
      <alignment horizontal="right" vertical="center" wrapText="1"/>
    </xf>
    <xf numFmtId="166" fontId="139" fillId="0" borderId="189" xfId="2" applyNumberFormat="1" applyFont="1" applyFill="1" applyBorder="1" applyAlignment="1">
      <alignment horizontal="right" vertical="center" wrapText="1"/>
    </xf>
    <xf numFmtId="166" fontId="139" fillId="0" borderId="190" xfId="2" applyNumberFormat="1" applyFont="1" applyFill="1" applyBorder="1" applyAlignment="1">
      <alignment horizontal="right" vertical="center" wrapText="1"/>
    </xf>
    <xf numFmtId="166" fontId="139" fillId="0" borderId="192" xfId="2" applyNumberFormat="1" applyFont="1" applyFill="1" applyBorder="1" applyAlignment="1">
      <alignment horizontal="right" vertical="center" wrapText="1"/>
    </xf>
    <xf numFmtId="166" fontId="139" fillId="0" borderId="193" xfId="2" applyNumberFormat="1" applyFont="1" applyFill="1" applyBorder="1" applyAlignment="1">
      <alignment horizontal="right" vertical="center" wrapText="1"/>
    </xf>
    <xf numFmtId="166" fontId="136" fillId="0" borderId="186" xfId="2" applyNumberFormat="1" applyFont="1" applyFill="1" applyBorder="1" applyAlignment="1">
      <alignment horizontal="right" vertical="center" wrapText="1"/>
    </xf>
    <xf numFmtId="166" fontId="136" fillId="0" borderId="187" xfId="2" applyNumberFormat="1" applyFont="1" applyFill="1" applyBorder="1" applyAlignment="1">
      <alignment horizontal="right" vertical="center" wrapText="1"/>
    </xf>
    <xf numFmtId="166" fontId="136" fillId="0" borderId="189" xfId="2" applyNumberFormat="1" applyFont="1" applyFill="1" applyBorder="1" applyAlignment="1">
      <alignment horizontal="right" vertical="center" wrapText="1"/>
    </xf>
    <xf numFmtId="166" fontId="136" fillId="0" borderId="190" xfId="2" applyNumberFormat="1" applyFont="1" applyFill="1" applyBorder="1" applyAlignment="1">
      <alignment horizontal="right" vertical="center" wrapText="1"/>
    </xf>
    <xf numFmtId="166" fontId="137" fillId="0" borderId="189" xfId="2" applyNumberFormat="1" applyFont="1" applyFill="1" applyBorder="1" applyAlignment="1">
      <alignment horizontal="right" vertical="center" wrapText="1"/>
    </xf>
    <xf numFmtId="166" fontId="137" fillId="0" borderId="190" xfId="2" applyNumberFormat="1" applyFont="1" applyFill="1" applyBorder="1" applyAlignment="1">
      <alignment horizontal="right" vertical="center" wrapText="1"/>
    </xf>
    <xf numFmtId="166" fontId="137" fillId="0" borderId="192" xfId="2" applyNumberFormat="1" applyFont="1" applyFill="1" applyBorder="1" applyAlignment="1">
      <alignment horizontal="right" vertical="center" wrapText="1"/>
    </xf>
    <xf numFmtId="166" fontId="137" fillId="0" borderId="193" xfId="2" applyNumberFormat="1" applyFont="1" applyFill="1" applyBorder="1" applyAlignment="1">
      <alignment horizontal="right" vertical="center" wrapText="1"/>
    </xf>
    <xf numFmtId="166" fontId="45" fillId="0" borderId="177" xfId="2" applyNumberFormat="1" applyFont="1" applyFill="1" applyBorder="1" applyAlignment="1">
      <alignment horizontal="center" vertical="center" wrapText="1"/>
    </xf>
    <xf numFmtId="166" fontId="45" fillId="0" borderId="115" xfId="2" applyNumberFormat="1" applyFont="1" applyFill="1" applyBorder="1" applyAlignment="1">
      <alignment horizontal="center" vertical="center" wrapText="1"/>
    </xf>
    <xf numFmtId="0" fontId="45" fillId="0" borderId="194" xfId="0" applyFont="1" applyBorder="1" applyAlignment="1">
      <alignment horizontal="left" vertical="center" wrapText="1"/>
    </xf>
    <xf numFmtId="166" fontId="45" fillId="0" borderId="194" xfId="2" applyNumberFormat="1" applyFont="1" applyFill="1" applyBorder="1" applyAlignment="1">
      <alignment horizontal="center" vertical="center" wrapText="1"/>
    </xf>
    <xf numFmtId="0" fontId="45" fillId="0" borderId="177" xfId="0" applyFont="1" applyBorder="1" applyAlignment="1">
      <alignment vertical="center" wrapText="1"/>
    </xf>
    <xf numFmtId="166" fontId="45" fillId="0" borderId="177" xfId="2" applyNumberFormat="1" applyFont="1" applyFill="1" applyBorder="1" applyAlignment="1">
      <alignment vertical="center" wrapText="1"/>
    </xf>
    <xf numFmtId="0" fontId="41" fillId="0" borderId="177" xfId="0" applyFont="1" applyBorder="1" applyAlignment="1">
      <alignment wrapText="1"/>
    </xf>
    <xf numFmtId="166" fontId="140" fillId="0" borderId="0" xfId="0" applyNumberFormat="1" applyFont="1"/>
    <xf numFmtId="166" fontId="45" fillId="0" borderId="195" xfId="2" applyNumberFormat="1" applyFont="1" applyFill="1" applyBorder="1" applyAlignment="1">
      <alignment horizontal="center" vertical="center" wrapText="1"/>
    </xf>
    <xf numFmtId="0" fontId="41" fillId="0" borderId="177" xfId="0" applyFont="1" applyBorder="1"/>
    <xf numFmtId="0" fontId="41" fillId="0" borderId="177" xfId="0" applyFont="1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66" fontId="10" fillId="0" borderId="45" xfId="2" applyNumberFormat="1" applyFont="1" applyFill="1" applyBorder="1" applyAlignment="1">
      <alignment vertical="center"/>
    </xf>
    <xf numFmtId="166" fontId="44" fillId="0" borderId="45" xfId="2" applyNumberFormat="1" applyFont="1" applyFill="1" applyBorder="1" applyAlignment="1">
      <alignment vertical="center"/>
    </xf>
    <xf numFmtId="166" fontId="45" fillId="0" borderId="56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 wrapText="1"/>
    </xf>
    <xf numFmtId="166" fontId="10" fillId="0" borderId="65" xfId="2" applyNumberFormat="1" applyFont="1" applyFill="1" applyBorder="1" applyAlignment="1">
      <alignment vertical="center"/>
    </xf>
    <xf numFmtId="166" fontId="44" fillId="0" borderId="65" xfId="2" applyNumberFormat="1" applyFont="1" applyFill="1" applyBorder="1" applyAlignment="1">
      <alignment vertical="center"/>
    </xf>
    <xf numFmtId="0" fontId="63" fillId="0" borderId="196" xfId="0" applyFont="1" applyBorder="1" applyAlignment="1">
      <alignment horizontal="left" vertical="center" wrapText="1"/>
    </xf>
    <xf numFmtId="0" fontId="63" fillId="0" borderId="189" xfId="0" applyFont="1" applyBorder="1" applyAlignment="1">
      <alignment horizontal="left" vertical="center" wrapText="1"/>
    </xf>
    <xf numFmtId="0" fontId="63" fillId="28" borderId="189" xfId="0" applyFont="1" applyFill="1" applyBorder="1" applyAlignment="1">
      <alignment horizontal="left" vertical="center" wrapText="1"/>
    </xf>
    <xf numFmtId="0" fontId="63" fillId="0" borderId="31" xfId="0" applyFont="1" applyBorder="1" applyAlignment="1">
      <alignment horizontal="left" vertical="center" wrapText="1"/>
    </xf>
    <xf numFmtId="0" fontId="63" fillId="0" borderId="189" xfId="0" applyFont="1" applyBorder="1" applyAlignment="1">
      <alignment vertical="center"/>
    </xf>
    <xf numFmtId="0" fontId="63" fillId="25" borderId="189" xfId="0" applyFont="1" applyFill="1" applyBorder="1" applyAlignment="1">
      <alignment horizontal="left" vertical="center" wrapText="1"/>
    </xf>
    <xf numFmtId="0" fontId="48" fillId="28" borderId="189" xfId="0" applyFont="1" applyFill="1" applyBorder="1" applyAlignment="1">
      <alignment horizontal="center" vertical="center"/>
    </xf>
    <xf numFmtId="166" fontId="94" fillId="0" borderId="190" xfId="2" applyNumberFormat="1" applyFont="1" applyBorder="1"/>
    <xf numFmtId="0" fontId="63" fillId="0" borderId="189" xfId="0" applyFont="1" applyBorder="1" applyAlignment="1">
      <alignment vertical="center" wrapText="1"/>
    </xf>
    <xf numFmtId="0" fontId="63" fillId="0" borderId="196" xfId="130" applyFont="1" applyBorder="1" applyAlignment="1">
      <alignment vertical="center" wrapText="1"/>
    </xf>
    <xf numFmtId="0" fontId="63" fillId="0" borderId="197" xfId="0" applyFont="1" applyBorder="1" applyAlignment="1">
      <alignment wrapText="1"/>
    </xf>
    <xf numFmtId="0" fontId="63" fillId="0" borderId="196" xfId="0" applyFont="1" applyBorder="1" applyAlignment="1">
      <alignment vertical="center" wrapText="1"/>
    </xf>
    <xf numFmtId="0" fontId="63" fillId="0" borderId="177" xfId="0" applyFont="1" applyBorder="1" applyAlignment="1">
      <alignment vertical="center" wrapText="1"/>
    </xf>
    <xf numFmtId="0" fontId="48" fillId="28" borderId="31" xfId="0" applyFont="1" applyFill="1" applyBorder="1" applyAlignment="1">
      <alignment horizontal="center" vertical="center"/>
    </xf>
    <xf numFmtId="166" fontId="94" fillId="0" borderId="199" xfId="2" applyNumberFormat="1" applyFont="1" applyBorder="1"/>
    <xf numFmtId="0" fontId="63" fillId="0" borderId="201" xfId="0" applyFont="1" applyBorder="1" applyAlignment="1">
      <alignment horizontal="left" vertical="center" wrapText="1"/>
    </xf>
    <xf numFmtId="166" fontId="94" fillId="0" borderId="187" xfId="2" applyNumberFormat="1" applyFont="1" applyBorder="1"/>
    <xf numFmtId="166" fontId="94" fillId="0" borderId="190" xfId="2" applyNumberFormat="1" applyFont="1" applyFill="1" applyBorder="1"/>
    <xf numFmtId="0" fontId="48" fillId="28" borderId="203" xfId="0" applyFont="1" applyFill="1" applyBorder="1" applyAlignment="1">
      <alignment horizontal="center" vertical="center"/>
    </xf>
    <xf numFmtId="0" fontId="63" fillId="0" borderId="203" xfId="130" applyFont="1" applyBorder="1" applyAlignment="1">
      <alignment vertical="center" wrapText="1"/>
    </xf>
    <xf numFmtId="166" fontId="94" fillId="0" borderId="204" xfId="2" applyNumberFormat="1" applyFont="1" applyBorder="1"/>
    <xf numFmtId="0" fontId="115" fillId="0" borderId="135" xfId="74" applyFont="1" applyBorder="1" applyAlignment="1">
      <alignment vertical="center" wrapText="1"/>
    </xf>
    <xf numFmtId="0" fontId="115" fillId="0" borderId="177" xfId="74" applyFont="1" applyBorder="1" applyAlignment="1">
      <alignment horizontal="center" vertical="center" wrapText="1"/>
    </xf>
    <xf numFmtId="3" fontId="117" fillId="0" borderId="177" xfId="74" applyNumberFormat="1" applyFont="1" applyBorder="1" applyAlignment="1">
      <alignment vertical="center" wrapText="1"/>
    </xf>
    <xf numFmtId="3" fontId="115" fillId="0" borderId="177" xfId="74" applyNumberFormat="1" applyFont="1" applyBorder="1" applyAlignment="1">
      <alignment vertical="center" wrapText="1"/>
    </xf>
    <xf numFmtId="167" fontId="131" fillId="0" borderId="0" xfId="101" applyNumberFormat="1" applyFont="1"/>
    <xf numFmtId="3" fontId="117" fillId="0" borderId="141" xfId="74" applyNumberFormat="1" applyFont="1" applyBorder="1" applyAlignment="1">
      <alignment vertical="center" wrapText="1"/>
    </xf>
    <xf numFmtId="3" fontId="117" fillId="0" borderId="143" xfId="74" applyNumberFormat="1" applyFont="1" applyBorder="1" applyAlignment="1">
      <alignment vertical="center" wrapText="1"/>
    </xf>
    <xf numFmtId="3" fontId="117" fillId="0" borderId="170" xfId="74" applyNumberFormat="1" applyFont="1" applyBorder="1" applyAlignment="1">
      <alignment vertical="center" wrapText="1"/>
    </xf>
    <xf numFmtId="167" fontId="117" fillId="0" borderId="177" xfId="101" applyNumberFormat="1" applyFont="1" applyBorder="1" applyAlignment="1">
      <alignment vertical="center" wrapText="1"/>
    </xf>
    <xf numFmtId="167" fontId="115" fillId="0" borderId="177" xfId="101" applyNumberFormat="1" applyFont="1" applyBorder="1" applyAlignment="1">
      <alignment vertical="center" wrapText="1"/>
    </xf>
    <xf numFmtId="0" fontId="117" fillId="0" borderId="170" xfId="74" applyFont="1" applyBorder="1" applyAlignment="1">
      <alignment vertical="center" wrapText="1"/>
    </xf>
    <xf numFmtId="3" fontId="117" fillId="0" borderId="115" xfId="74" applyNumberFormat="1" applyFont="1" applyBorder="1" applyAlignment="1">
      <alignment vertical="center" wrapText="1"/>
    </xf>
    <xf numFmtId="3" fontId="117" fillId="0" borderId="116" xfId="74" applyNumberFormat="1" applyFont="1" applyBorder="1" applyAlignment="1">
      <alignment vertical="center" wrapText="1"/>
    </xf>
    <xf numFmtId="0" fontId="115" fillId="0" borderId="170" xfId="74" applyFont="1" applyBorder="1" applyAlignment="1">
      <alignment vertical="center" wrapText="1"/>
    </xf>
    <xf numFmtId="0" fontId="118" fillId="0" borderId="0" xfId="0" applyFont="1" applyAlignment="1">
      <alignment horizontal="center"/>
    </xf>
    <xf numFmtId="176" fontId="23" fillId="0" borderId="0" xfId="49" applyNumberFormat="1"/>
    <xf numFmtId="176" fontId="102" fillId="0" borderId="140" xfId="49" applyNumberFormat="1" applyFont="1" applyBorder="1" applyAlignment="1">
      <alignment horizontal="left" vertical="center" wrapText="1" indent="1"/>
    </xf>
    <xf numFmtId="49" fontId="63" fillId="0" borderId="176" xfId="49" applyNumberFormat="1" applyFont="1" applyBorder="1" applyAlignment="1" applyProtection="1">
      <alignment horizontal="center" vertical="center" wrapText="1"/>
      <protection locked="0"/>
    </xf>
    <xf numFmtId="176" fontId="63" fillId="0" borderId="176" xfId="49" applyNumberFormat="1" applyFont="1" applyBorder="1" applyAlignment="1">
      <alignment vertical="center" wrapText="1"/>
    </xf>
    <xf numFmtId="0" fontId="131" fillId="0" borderId="0" xfId="49" applyFont="1"/>
    <xf numFmtId="166" fontId="131" fillId="0" borderId="0" xfId="49" applyNumberFormat="1" applyFont="1"/>
    <xf numFmtId="176" fontId="64" fillId="0" borderId="140" xfId="49" applyNumberFormat="1" applyFont="1" applyBorder="1" applyAlignment="1">
      <alignment horizontal="left" vertical="center" wrapText="1" indent="1"/>
    </xf>
    <xf numFmtId="176" fontId="63" fillId="0" borderId="140" xfId="49" applyNumberFormat="1" applyFont="1" applyBorder="1" applyAlignment="1">
      <alignment vertical="center" wrapText="1"/>
    </xf>
    <xf numFmtId="176" fontId="64" fillId="0" borderId="205" xfId="49" applyNumberFormat="1" applyFont="1" applyBorder="1" applyAlignment="1">
      <alignment horizontal="center" vertical="center" wrapText="1"/>
    </xf>
    <xf numFmtId="176" fontId="102" fillId="0" borderId="177" xfId="49" applyNumberFormat="1" applyFont="1" applyBorder="1" applyAlignment="1">
      <alignment horizontal="left" vertical="center" wrapText="1" indent="1"/>
    </xf>
    <xf numFmtId="49" fontId="63" fillId="0" borderId="177" xfId="49" applyNumberFormat="1" applyFont="1" applyBorder="1" applyAlignment="1" applyProtection="1">
      <alignment horizontal="center" vertical="center" wrapText="1"/>
      <protection locked="0"/>
    </xf>
    <xf numFmtId="176" fontId="63" fillId="0" borderId="177" xfId="49" applyNumberFormat="1" applyFont="1" applyBorder="1" applyAlignment="1">
      <alignment vertical="center" wrapText="1"/>
    </xf>
    <xf numFmtId="176" fontId="64" fillId="0" borderId="140" xfId="49" applyNumberFormat="1" applyFont="1" applyBorder="1" applyAlignment="1">
      <alignment vertical="center" wrapText="1"/>
    </xf>
    <xf numFmtId="0" fontId="131" fillId="0" borderId="0" xfId="49" applyFont="1" applyAlignment="1">
      <alignment wrapText="1"/>
    </xf>
    <xf numFmtId="176" fontId="64" fillId="0" borderId="59" xfId="49" applyNumberFormat="1" applyFont="1" applyBorder="1" applyAlignment="1">
      <alignment vertical="center" wrapText="1"/>
    </xf>
    <xf numFmtId="176" fontId="64" fillId="0" borderId="60" xfId="49" applyNumberFormat="1" applyFont="1" applyBorder="1" applyAlignment="1">
      <alignment vertical="center" wrapText="1"/>
    </xf>
    <xf numFmtId="42" fontId="0" fillId="28" borderId="208" xfId="0" applyNumberFormat="1" applyFill="1" applyBorder="1" applyAlignment="1">
      <alignment horizontal="center" vertical="center"/>
    </xf>
    <xf numFmtId="169" fontId="0" fillId="28" borderId="178" xfId="0" applyNumberFormat="1" applyFill="1" applyBorder="1" applyAlignment="1">
      <alignment vertical="center"/>
    </xf>
    <xf numFmtId="169" fontId="0" fillId="28" borderId="206" xfId="0" applyNumberFormat="1" applyFill="1" applyBorder="1" applyAlignment="1">
      <alignment horizontal="right" vertical="center"/>
    </xf>
    <xf numFmtId="0" fontId="0" fillId="0" borderId="205" xfId="0" applyBorder="1"/>
    <xf numFmtId="42" fontId="0" fillId="0" borderId="194" xfId="0" applyNumberFormat="1" applyBorder="1" applyAlignment="1">
      <alignment horizontal="center" vertical="center"/>
    </xf>
    <xf numFmtId="42" fontId="0" fillId="0" borderId="208" xfId="0" applyNumberFormat="1" applyBorder="1" applyAlignment="1">
      <alignment horizontal="center" vertical="center"/>
    </xf>
    <xf numFmtId="169" fontId="0" fillId="0" borderId="178" xfId="0" applyNumberFormat="1" applyBorder="1" applyAlignment="1">
      <alignment horizontal="right" vertical="center"/>
    </xf>
    <xf numFmtId="169" fontId="0" fillId="28" borderId="178" xfId="0" applyNumberFormat="1" applyFill="1" applyBorder="1" applyAlignment="1">
      <alignment horizontal="right" vertical="center"/>
    </xf>
    <xf numFmtId="42" fontId="0" fillId="28" borderId="178" xfId="0" applyNumberFormat="1" applyFill="1" applyBorder="1" applyAlignment="1">
      <alignment horizontal="right" vertical="center"/>
    </xf>
    <xf numFmtId="166" fontId="0" fillId="28" borderId="178" xfId="2" applyNumberFormat="1" applyFont="1" applyFill="1" applyBorder="1" applyAlignment="1">
      <alignment horizontal="center" vertical="center"/>
    </xf>
    <xf numFmtId="42" fontId="0" fillId="28" borderId="178" xfId="0" applyNumberFormat="1" applyFill="1" applyBorder="1" applyAlignment="1">
      <alignment vertical="center"/>
    </xf>
    <xf numFmtId="166" fontId="0" fillId="0" borderId="178" xfId="2" applyNumberFormat="1" applyFont="1" applyFill="1" applyBorder="1" applyAlignment="1">
      <alignment horizontal="center" vertical="center"/>
    </xf>
    <xf numFmtId="42" fontId="0" fillId="0" borderId="178" xfId="0" applyNumberFormat="1" applyBorder="1" applyAlignment="1">
      <alignment vertical="center"/>
    </xf>
    <xf numFmtId="42" fontId="0" fillId="0" borderId="194" xfId="0" applyNumberFormat="1" applyBorder="1" applyAlignment="1">
      <alignment horizontal="center" vertical="center" wrapText="1"/>
    </xf>
    <xf numFmtId="42" fontId="0" fillId="0" borderId="208" xfId="0" applyNumberFormat="1" applyBorder="1" applyAlignment="1">
      <alignment horizontal="center" vertical="center" wrapText="1"/>
    </xf>
    <xf numFmtId="169" fontId="0" fillId="28" borderId="178" xfId="0" applyNumberFormat="1" applyFill="1" applyBorder="1" applyAlignment="1">
      <alignment horizontal="right" vertical="center" wrapText="1"/>
    </xf>
    <xf numFmtId="169" fontId="0" fillId="28" borderId="206" xfId="0" applyNumberFormat="1" applyFill="1" applyBorder="1" applyAlignment="1">
      <alignment horizontal="right" vertical="center" wrapText="1"/>
    </xf>
    <xf numFmtId="42" fontId="0" fillId="34" borderId="194" xfId="0" applyNumberFormat="1" applyFill="1" applyBorder="1" applyAlignment="1">
      <alignment horizontal="center" vertical="center"/>
    </xf>
    <xf numFmtId="42" fontId="0" fillId="34" borderId="208" xfId="0" applyNumberFormat="1" applyFill="1" applyBorder="1" applyAlignment="1">
      <alignment horizontal="center" vertical="center"/>
    </xf>
    <xf numFmtId="42" fontId="0" fillId="34" borderId="60" xfId="0" applyNumberFormat="1" applyFill="1" applyBorder="1" applyAlignment="1">
      <alignment horizontal="center" vertical="center"/>
    </xf>
    <xf numFmtId="42" fontId="0" fillId="35" borderId="194" xfId="0" applyNumberFormat="1" applyFill="1" applyBorder="1" applyAlignment="1">
      <alignment horizontal="center" vertical="center"/>
    </xf>
    <xf numFmtId="42" fontId="0" fillId="35" borderId="208" xfId="0" applyNumberFormat="1" applyFill="1" applyBorder="1" applyAlignment="1">
      <alignment horizontal="center" vertical="center"/>
    </xf>
    <xf numFmtId="42" fontId="0" fillId="35" borderId="60" xfId="0" applyNumberFormat="1" applyFill="1" applyBorder="1" applyAlignment="1">
      <alignment horizontal="center" vertical="center"/>
    </xf>
    <xf numFmtId="0" fontId="54" fillId="34" borderId="127" xfId="0" applyFont="1" applyFill="1" applyBorder="1" applyAlignment="1">
      <alignment horizontal="right" vertical="center" wrapText="1"/>
    </xf>
    <xf numFmtId="0" fontId="0" fillId="34" borderId="179" xfId="0" applyFill="1" applyBorder="1" applyAlignment="1">
      <alignment vertical="center"/>
    </xf>
    <xf numFmtId="0" fontId="0" fillId="34" borderId="177" xfId="0" applyFill="1" applyBorder="1" applyAlignment="1">
      <alignment vertical="center" wrapText="1"/>
    </xf>
    <xf numFmtId="169" fontId="0" fillId="34" borderId="177" xfId="0" applyNumberFormat="1" applyFill="1" applyBorder="1" applyAlignment="1">
      <alignment horizontal="center" vertical="center"/>
    </xf>
    <xf numFmtId="169" fontId="0" fillId="34" borderId="206" xfId="0" applyNumberFormat="1" applyFill="1" applyBorder="1" applyAlignment="1">
      <alignment horizontal="center" vertical="center"/>
    </xf>
    <xf numFmtId="0" fontId="0" fillId="34" borderId="180" xfId="0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169" fontId="0" fillId="35" borderId="177" xfId="0" applyNumberFormat="1" applyFill="1" applyBorder="1" applyAlignment="1">
      <alignment horizontal="center" vertical="center"/>
    </xf>
    <xf numFmtId="169" fontId="54" fillId="35" borderId="206" xfId="0" applyNumberFormat="1" applyFont="1" applyFill="1" applyBorder="1" applyAlignment="1">
      <alignment horizontal="center" vertical="center"/>
    </xf>
    <xf numFmtId="0" fontId="0" fillId="35" borderId="179" xfId="0" applyFill="1" applyBorder="1" applyAlignment="1">
      <alignment vertical="center"/>
    </xf>
    <xf numFmtId="0" fontId="0" fillId="35" borderId="177" xfId="0" applyFill="1" applyBorder="1" applyAlignment="1">
      <alignment vertical="center" wrapText="1"/>
    </xf>
    <xf numFmtId="42" fontId="0" fillId="35" borderId="178" xfId="0" applyNumberFormat="1" applyFill="1" applyBorder="1" applyAlignment="1">
      <alignment horizontal="center" vertical="center"/>
    </xf>
    <xf numFmtId="169" fontId="0" fillId="35" borderId="206" xfId="0" applyNumberFormat="1" applyFill="1" applyBorder="1" applyAlignment="1">
      <alignment horizontal="center" vertical="center"/>
    </xf>
    <xf numFmtId="166" fontId="0" fillId="0" borderId="177" xfId="2" applyNumberFormat="1" applyFont="1" applyFill="1" applyBorder="1"/>
    <xf numFmtId="169" fontId="54" fillId="34" borderId="177" xfId="0" applyNumberFormat="1" applyFont="1" applyFill="1" applyBorder="1" applyAlignment="1">
      <alignment horizontal="center" vertical="center" wrapText="1"/>
    </xf>
    <xf numFmtId="169" fontId="54" fillId="34" borderId="206" xfId="0" applyNumberFormat="1" applyFont="1" applyFill="1" applyBorder="1" applyAlignment="1">
      <alignment horizontal="center" vertical="center" wrapText="1"/>
    </xf>
    <xf numFmtId="42" fontId="0" fillId="34" borderId="177" xfId="0" applyNumberFormat="1" applyFill="1" applyBorder="1" applyAlignment="1">
      <alignment horizontal="center" vertical="center"/>
    </xf>
    <xf numFmtId="169" fontId="54" fillId="35" borderId="177" xfId="0" applyNumberFormat="1" applyFont="1" applyFill="1" applyBorder="1" applyAlignment="1">
      <alignment horizontal="center" vertical="center"/>
    </xf>
    <xf numFmtId="44" fontId="110" fillId="28" borderId="0" xfId="2" applyFont="1" applyFill="1"/>
    <xf numFmtId="0" fontId="0" fillId="0" borderId="0" xfId="0" applyAlignment="1">
      <alignment horizontal="center" wrapText="1"/>
    </xf>
    <xf numFmtId="0" fontId="110" fillId="0" borderId="0" xfId="0" applyFont="1" applyAlignment="1">
      <alignment horizont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/>
    </xf>
    <xf numFmtId="0" fontId="6" fillId="24" borderId="87" xfId="0" applyFont="1" applyFill="1" applyBorder="1" applyAlignment="1">
      <alignment horizontal="center" vertical="center"/>
    </xf>
    <xf numFmtId="0" fontId="7" fillId="0" borderId="1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04" fillId="28" borderId="86" xfId="0" applyFont="1" applyFill="1" applyBorder="1" applyAlignment="1">
      <alignment horizontal="center" vertical="center" wrapText="1"/>
    </xf>
    <xf numFmtId="0" fontId="104" fillId="28" borderId="45" xfId="0" applyFont="1" applyFill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0" fontId="10" fillId="0" borderId="145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center"/>
    </xf>
    <xf numFmtId="0" fontId="8" fillId="0" borderId="146" xfId="0" applyFont="1" applyBorder="1" applyAlignment="1">
      <alignment horizontal="center"/>
    </xf>
    <xf numFmtId="0" fontId="10" fillId="0" borderId="85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41" fillId="0" borderId="119" xfId="0" applyFont="1" applyBorder="1" applyAlignment="1">
      <alignment horizontal="center" vertical="center" wrapText="1"/>
    </xf>
    <xf numFmtId="0" fontId="46" fillId="0" borderId="122" xfId="0" applyFont="1" applyBorder="1" applyAlignment="1">
      <alignment horizontal="center" vertical="center" wrapText="1"/>
    </xf>
    <xf numFmtId="0" fontId="46" fillId="0" borderId="148" xfId="0" applyFont="1" applyBorder="1" applyAlignment="1">
      <alignment horizontal="center" vertical="center" wrapText="1"/>
    </xf>
    <xf numFmtId="0" fontId="46" fillId="0" borderId="134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textRotation="90" wrapText="1"/>
    </xf>
    <xf numFmtId="0" fontId="41" fillId="0" borderId="67" xfId="0" applyFont="1" applyBorder="1" applyAlignment="1">
      <alignment horizontal="center" vertical="center" textRotation="90" wrapText="1"/>
    </xf>
    <xf numFmtId="166" fontId="45" fillId="0" borderId="150" xfId="2" applyNumberFormat="1" applyFont="1" applyFill="1" applyBorder="1" applyAlignment="1">
      <alignment horizontal="center" vertical="center" wrapText="1"/>
    </xf>
    <xf numFmtId="166" fontId="45" fillId="0" borderId="54" xfId="2" applyNumberFormat="1" applyFont="1" applyFill="1" applyBorder="1" applyAlignment="1">
      <alignment horizontal="center" vertical="center" wrapText="1"/>
    </xf>
    <xf numFmtId="166" fontId="45" fillId="0" borderId="127" xfId="2" applyNumberFormat="1" applyFont="1" applyFill="1" applyBorder="1" applyAlignment="1">
      <alignment horizontal="center" vertical="center" wrapText="1"/>
    </xf>
    <xf numFmtId="0" fontId="44" fillId="24" borderId="120" xfId="0" applyFont="1" applyFill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textRotation="90"/>
    </xf>
    <xf numFmtId="0" fontId="41" fillId="0" borderId="150" xfId="0" applyFont="1" applyBorder="1" applyAlignment="1">
      <alignment horizontal="center" vertical="center" textRotation="90"/>
    </xf>
    <xf numFmtId="0" fontId="41" fillId="0" borderId="94" xfId="0" applyFont="1" applyBorder="1" applyAlignment="1">
      <alignment horizontal="center" vertical="center" textRotation="90"/>
    </xf>
    <xf numFmtId="0" fontId="47" fillId="0" borderId="51" xfId="0" applyFont="1" applyBorder="1" applyAlignment="1">
      <alignment horizontal="center" vertical="center" textRotation="90"/>
    </xf>
    <xf numFmtId="0" fontId="47" fillId="0" borderId="54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 wrapText="1"/>
    </xf>
    <xf numFmtId="0" fontId="41" fillId="0" borderId="177" xfId="0" applyFont="1" applyBorder="1" applyAlignment="1">
      <alignment horizontal="center" vertical="center" textRotation="90"/>
    </xf>
    <xf numFmtId="0" fontId="45" fillId="0" borderId="150" xfId="0" applyFont="1" applyBorder="1" applyAlignment="1">
      <alignment horizontal="center" vertical="center" textRotation="90" wrapText="1"/>
    </xf>
    <xf numFmtId="0" fontId="45" fillId="0" borderId="94" xfId="0" applyFont="1" applyBorder="1" applyAlignment="1">
      <alignment horizontal="center" vertical="center" textRotation="90" wrapText="1"/>
    </xf>
    <xf numFmtId="0" fontId="45" fillId="0" borderId="127" xfId="0" applyFont="1" applyBorder="1" applyAlignment="1">
      <alignment horizontal="center" vertical="center" textRotation="90" wrapText="1"/>
    </xf>
    <xf numFmtId="0" fontId="41" fillId="0" borderId="127" xfId="0" applyFont="1" applyBorder="1" applyAlignment="1">
      <alignment horizontal="center" vertical="center" textRotation="90"/>
    </xf>
    <xf numFmtId="0" fontId="41" fillId="0" borderId="51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textRotation="90"/>
    </xf>
    <xf numFmtId="0" fontId="41" fillId="0" borderId="67" xfId="0" applyFont="1" applyBorder="1" applyAlignment="1">
      <alignment horizontal="center" vertical="center" textRotation="90"/>
    </xf>
    <xf numFmtId="166" fontId="41" fillId="0" borderId="112" xfId="2" applyNumberFormat="1" applyFont="1" applyFill="1" applyBorder="1" applyAlignment="1">
      <alignment horizontal="center" vertical="center" wrapText="1"/>
    </xf>
    <xf numFmtId="166" fontId="41" fillId="0" borderId="94" xfId="2" applyNumberFormat="1" applyFont="1" applyFill="1" applyBorder="1" applyAlignment="1">
      <alignment horizontal="center" vertical="center" wrapText="1"/>
    </xf>
    <xf numFmtId="171" fontId="45" fillId="0" borderId="46" xfId="2" applyNumberFormat="1" applyFont="1" applyFill="1" applyBorder="1" applyAlignment="1">
      <alignment horizontal="center" vertical="center" wrapText="1"/>
    </xf>
    <xf numFmtId="171" fontId="45" fillId="0" borderId="67" xfId="2" applyNumberFormat="1" applyFont="1" applyFill="1" applyBorder="1" applyAlignment="1">
      <alignment horizontal="center" vertical="center" wrapText="1"/>
    </xf>
    <xf numFmtId="0" fontId="43" fillId="0" borderId="122" xfId="0" applyFont="1" applyBorder="1" applyAlignment="1">
      <alignment horizontal="center"/>
    </xf>
    <xf numFmtId="0" fontId="43" fillId="0" borderId="148" xfId="0" applyFont="1" applyBorder="1" applyAlignment="1">
      <alignment horizontal="center"/>
    </xf>
    <xf numFmtId="0" fontId="43" fillId="0" borderId="134" xfId="0" applyFont="1" applyBorder="1" applyAlignment="1">
      <alignment horizontal="center"/>
    </xf>
    <xf numFmtId="171" fontId="45" fillId="0" borderId="51" xfId="2" applyNumberFormat="1" applyFont="1" applyFill="1" applyBorder="1" applyAlignment="1">
      <alignment horizontal="center" vertical="center" wrapText="1"/>
    </xf>
    <xf numFmtId="171" fontId="45" fillId="0" borderId="54" xfId="2" applyNumberFormat="1" applyFont="1" applyFill="1" applyBorder="1" applyAlignment="1">
      <alignment horizontal="center" vertical="center" wrapText="1"/>
    </xf>
    <xf numFmtId="171" fontId="45" fillId="0" borderId="91" xfId="2" applyNumberFormat="1" applyFont="1" applyFill="1" applyBorder="1" applyAlignment="1">
      <alignment horizontal="center" vertical="center" wrapText="1"/>
    </xf>
    <xf numFmtId="166" fontId="41" fillId="0" borderId="51" xfId="2" applyNumberFormat="1" applyFont="1" applyFill="1" applyBorder="1" applyAlignment="1">
      <alignment horizontal="center" vertical="center" wrapText="1"/>
    </xf>
    <xf numFmtId="166" fontId="41" fillId="0" borderId="54" xfId="2" applyNumberFormat="1" applyFont="1" applyFill="1" applyBorder="1" applyAlignment="1">
      <alignment horizontal="center" vertical="center" wrapText="1"/>
    </xf>
    <xf numFmtId="166" fontId="41" fillId="0" borderId="150" xfId="2" applyNumberFormat="1" applyFont="1" applyFill="1" applyBorder="1" applyAlignment="1">
      <alignment horizontal="center" vertical="center" wrapText="1"/>
    </xf>
    <xf numFmtId="166" fontId="41" fillId="0" borderId="127" xfId="2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66" fontId="45" fillId="0" borderId="119" xfId="2" applyNumberFormat="1" applyFont="1" applyFill="1" applyBorder="1" applyAlignment="1">
      <alignment horizontal="center" vertical="center" wrapText="1"/>
    </xf>
    <xf numFmtId="166" fontId="45" fillId="0" borderId="177" xfId="2" applyNumberFormat="1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91" xfId="0" applyFont="1" applyBorder="1" applyAlignment="1">
      <alignment horizontal="center" vertical="center" wrapText="1"/>
    </xf>
    <xf numFmtId="0" fontId="41" fillId="0" borderId="94" xfId="0" applyFont="1" applyBorder="1" applyAlignment="1">
      <alignment horizontal="center" vertical="center" wrapText="1"/>
    </xf>
    <xf numFmtId="0" fontId="44" fillId="0" borderId="14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textRotation="90"/>
    </xf>
    <xf numFmtId="0" fontId="42" fillId="24" borderId="21" xfId="0" applyFont="1" applyFill="1" applyBorder="1" applyAlignment="1">
      <alignment horizontal="center" wrapText="1"/>
    </xf>
    <xf numFmtId="0" fontId="42" fillId="24" borderId="22" xfId="0" applyFont="1" applyFill="1" applyBorder="1" applyAlignment="1">
      <alignment horizontal="center" wrapText="1"/>
    </xf>
    <xf numFmtId="0" fontId="41" fillId="0" borderId="51" xfId="0" applyFont="1" applyBorder="1" applyAlignment="1">
      <alignment horizontal="center" vertical="center" textRotation="90"/>
    </xf>
    <xf numFmtId="0" fontId="41" fillId="0" borderId="91" xfId="0" applyFont="1" applyBorder="1" applyAlignment="1">
      <alignment horizontal="center" vertical="center" textRotation="90"/>
    </xf>
    <xf numFmtId="0" fontId="41" fillId="0" borderId="112" xfId="0" applyFont="1" applyBorder="1" applyAlignment="1">
      <alignment horizontal="center" vertical="center" textRotation="90"/>
    </xf>
    <xf numFmtId="0" fontId="44" fillId="0" borderId="113" xfId="0" applyFont="1" applyBorder="1" applyAlignment="1">
      <alignment horizontal="center" vertical="center" wrapText="1"/>
    </xf>
    <xf numFmtId="0" fontId="44" fillId="0" borderId="8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textRotation="90"/>
    </xf>
    <xf numFmtId="0" fontId="41" fillId="0" borderId="120" xfId="0" applyFont="1" applyBorder="1" applyAlignment="1">
      <alignment horizontal="center" vertical="center" wrapText="1"/>
    </xf>
    <xf numFmtId="0" fontId="41" fillId="0" borderId="127" xfId="0" applyFont="1" applyBorder="1" applyAlignment="1">
      <alignment horizontal="center" vertical="center" wrapText="1"/>
    </xf>
    <xf numFmtId="0" fontId="44" fillId="0" borderId="91" xfId="0" applyFont="1" applyBorder="1" applyAlignment="1">
      <alignment horizontal="center" vertical="center" wrapText="1"/>
    </xf>
    <xf numFmtId="0" fontId="41" fillId="0" borderId="150" xfId="0" applyFont="1" applyBorder="1" applyAlignment="1">
      <alignment horizontal="center" vertical="center" wrapText="1"/>
    </xf>
    <xf numFmtId="0" fontId="41" fillId="0" borderId="141" xfId="0" applyFont="1" applyBorder="1" applyAlignment="1">
      <alignment horizontal="center" vertical="center" textRotation="90"/>
    </xf>
    <xf numFmtId="0" fontId="41" fillId="0" borderId="115" xfId="0" applyFont="1" applyBorder="1" applyAlignment="1">
      <alignment horizontal="center" vertical="center" textRotation="90"/>
    </xf>
    <xf numFmtId="0" fontId="42" fillId="28" borderId="0" xfId="0" applyFont="1" applyFill="1" applyAlignment="1">
      <alignment horizontal="center"/>
    </xf>
    <xf numFmtId="0" fontId="111" fillId="30" borderId="0" xfId="0" applyFont="1" applyFill="1" applyAlignment="1">
      <alignment horizontal="center" wrapText="1"/>
    </xf>
    <xf numFmtId="0" fontId="112" fillId="33" borderId="46" xfId="0" applyFont="1" applyFill="1" applyBorder="1" applyAlignment="1">
      <alignment horizontal="left" wrapText="1"/>
    </xf>
    <xf numFmtId="0" fontId="113" fillId="33" borderId="46" xfId="0" applyFont="1" applyFill="1" applyBorder="1" applyAlignment="1">
      <alignment horizontal="center"/>
    </xf>
    <xf numFmtId="0" fontId="48" fillId="28" borderId="150" xfId="0" applyFont="1" applyFill="1" applyBorder="1" applyAlignment="1">
      <alignment horizontal="center" vertical="center" wrapText="1"/>
    </xf>
    <xf numFmtId="0" fontId="48" fillId="28" borderId="54" xfId="0" applyFont="1" applyFill="1" applyBorder="1" applyAlignment="1">
      <alignment horizontal="center" vertical="center" wrapText="1"/>
    </xf>
    <xf numFmtId="0" fontId="48" fillId="28" borderId="72" xfId="0" applyFont="1" applyFill="1" applyBorder="1" applyAlignment="1">
      <alignment horizontal="center" vertical="center" wrapText="1"/>
    </xf>
    <xf numFmtId="0" fontId="48" fillId="28" borderId="127" xfId="0" applyFont="1" applyFill="1" applyBorder="1" applyAlignment="1">
      <alignment horizontal="center" vertical="center" wrapText="1"/>
    </xf>
    <xf numFmtId="0" fontId="48" fillId="28" borderId="46" xfId="0" applyFont="1" applyFill="1" applyBorder="1" applyAlignment="1">
      <alignment horizontal="center" vertical="center" wrapText="1"/>
    </xf>
    <xf numFmtId="0" fontId="48" fillId="28" borderId="177" xfId="0" applyFont="1" applyFill="1" applyBorder="1" applyAlignment="1">
      <alignment horizontal="center" vertical="center" wrapText="1"/>
    </xf>
    <xf numFmtId="0" fontId="49" fillId="28" borderId="46" xfId="0" applyFont="1" applyFill="1" applyBorder="1" applyAlignment="1">
      <alignment horizontal="center" vertical="center" wrapText="1"/>
    </xf>
    <xf numFmtId="0" fontId="48" fillId="28" borderId="198" xfId="0" applyFont="1" applyFill="1" applyBorder="1" applyAlignment="1">
      <alignment horizontal="center" vertical="center" textRotation="90"/>
    </xf>
    <xf numFmtId="0" fontId="48" fillId="28" borderId="146" xfId="0" applyFont="1" applyFill="1" applyBorder="1" applyAlignment="1">
      <alignment horizontal="center" vertical="center" textRotation="90"/>
    </xf>
    <xf numFmtId="0" fontId="48" fillId="28" borderId="188" xfId="0" applyFont="1" applyFill="1" applyBorder="1" applyAlignment="1">
      <alignment horizontal="center" vertical="center" textRotation="90"/>
    </xf>
    <xf numFmtId="0" fontId="48" fillId="28" borderId="200" xfId="0" applyFont="1" applyFill="1" applyBorder="1" applyAlignment="1">
      <alignment horizontal="center" vertical="center" textRotation="90"/>
    </xf>
    <xf numFmtId="0" fontId="48" fillId="28" borderId="149" xfId="0" applyFont="1" applyFill="1" applyBorder="1" applyAlignment="1">
      <alignment horizontal="center" vertical="center" textRotation="90"/>
    </xf>
    <xf numFmtId="0" fontId="48" fillId="28" borderId="202" xfId="0" applyFont="1" applyFill="1" applyBorder="1" applyAlignment="1">
      <alignment horizontal="center" vertical="center" textRotation="90"/>
    </xf>
    <xf numFmtId="0" fontId="48" fillId="0" borderId="177" xfId="0" applyFont="1" applyBorder="1" applyAlignment="1">
      <alignment horizontal="center" vertical="center" textRotation="90"/>
    </xf>
    <xf numFmtId="0" fontId="56" fillId="0" borderId="0" xfId="67" applyFont="1" applyAlignment="1">
      <alignment horizontal="center"/>
    </xf>
    <xf numFmtId="49" fontId="56" fillId="0" borderId="0" xfId="32" applyNumberFormat="1" applyFont="1" applyFill="1" applyBorder="1" applyAlignment="1">
      <alignment horizontal="center"/>
    </xf>
    <xf numFmtId="14" fontId="56" fillId="0" borderId="119" xfId="32" applyNumberFormat="1" applyFont="1" applyBorder="1" applyAlignment="1">
      <alignment horizontal="center" vertical="center" wrapText="1"/>
    </xf>
    <xf numFmtId="0" fontId="56" fillId="0" borderId="119" xfId="68" applyFont="1" applyBorder="1" applyAlignment="1">
      <alignment horizontal="center" vertical="center"/>
    </xf>
    <xf numFmtId="0" fontId="129" fillId="0" borderId="0" xfId="67" applyFont="1" applyAlignment="1">
      <alignment horizontal="left" vertical="center" wrapText="1"/>
    </xf>
    <xf numFmtId="0" fontId="57" fillId="0" borderId="0" xfId="67" applyFont="1" applyAlignment="1">
      <alignment horizontal="center" vertical="center"/>
    </xf>
    <xf numFmtId="0" fontId="129" fillId="0" borderId="0" xfId="67" applyFont="1" applyAlignment="1">
      <alignment horizontal="left"/>
    </xf>
    <xf numFmtId="0" fontId="52" fillId="0" borderId="0" xfId="67" applyFont="1" applyAlignment="1">
      <alignment horizontal="center"/>
    </xf>
    <xf numFmtId="167" fontId="52" fillId="0" borderId="0" xfId="32" applyNumberFormat="1" applyFont="1" applyFill="1" applyBorder="1" applyAlignment="1">
      <alignment horizontal="center"/>
    </xf>
    <xf numFmtId="0" fontId="57" fillId="0" borderId="0" xfId="67" applyFont="1" applyAlignment="1">
      <alignment horizontal="center"/>
    </xf>
    <xf numFmtId="0" fontId="58" fillId="0" borderId="0" xfId="67" applyFont="1" applyAlignment="1">
      <alignment horizontal="left" vertical="center"/>
    </xf>
    <xf numFmtId="0" fontId="56" fillId="0" borderId="119" xfId="68" applyFont="1" applyBorder="1" applyAlignment="1">
      <alignment horizontal="center" vertical="center" textRotation="90"/>
    </xf>
    <xf numFmtId="0" fontId="52" fillId="0" borderId="119" xfId="68" applyFont="1" applyBorder="1" applyAlignment="1">
      <alignment horizontal="center" vertical="center" textRotation="90"/>
    </xf>
    <xf numFmtId="0" fontId="56" fillId="0" borderId="119" xfId="68" applyFont="1" applyBorder="1" applyAlignment="1">
      <alignment horizontal="center" vertical="center" wrapText="1"/>
    </xf>
    <xf numFmtId="0" fontId="52" fillId="0" borderId="119" xfId="68" applyFont="1" applyBorder="1" applyAlignment="1">
      <alignment horizontal="center" vertical="center" wrapText="1"/>
    </xf>
    <xf numFmtId="0" fontId="56" fillId="0" borderId="122" xfId="68" applyFont="1" applyBorder="1" applyAlignment="1">
      <alignment horizontal="center" vertical="center" wrapText="1"/>
    </xf>
    <xf numFmtId="0" fontId="56" fillId="0" borderId="134" xfId="68" applyFont="1" applyBorder="1" applyAlignment="1">
      <alignment horizontal="center" vertical="center" wrapText="1"/>
    </xf>
    <xf numFmtId="0" fontId="51" fillId="0" borderId="177" xfId="0" applyFont="1" applyBorder="1" applyAlignment="1">
      <alignment horizontal="left" vertical="center" wrapText="1"/>
    </xf>
    <xf numFmtId="0" fontId="51" fillId="0" borderId="177" xfId="0" applyFont="1" applyBorder="1" applyAlignment="1">
      <alignment horizontal="center" vertical="center" wrapText="1"/>
    </xf>
    <xf numFmtId="167" fontId="62" fillId="0" borderId="177" xfId="1" applyNumberFormat="1" applyFont="1" applyFill="1" applyBorder="1" applyAlignment="1">
      <alignment horizontal="center" vertical="center" wrapText="1"/>
    </xf>
    <xf numFmtId="167" fontId="94" fillId="0" borderId="177" xfId="1" applyNumberFormat="1" applyFont="1" applyFill="1" applyBorder="1" applyAlignment="1">
      <alignment horizontal="center" vertical="center" wrapText="1"/>
    </xf>
    <xf numFmtId="167" fontId="94" fillId="0" borderId="178" xfId="1" applyNumberFormat="1" applyFont="1" applyFill="1" applyBorder="1" applyAlignment="1">
      <alignment horizontal="center" vertical="center" wrapText="1"/>
    </xf>
    <xf numFmtId="167" fontId="94" fillId="0" borderId="180" xfId="1" applyNumberFormat="1" applyFont="1" applyFill="1" applyBorder="1" applyAlignment="1">
      <alignment horizontal="center" vertical="center" wrapText="1"/>
    </xf>
    <xf numFmtId="176" fontId="64" fillId="0" borderId="58" xfId="49" applyNumberFormat="1" applyFont="1" applyBorder="1" applyAlignment="1">
      <alignment horizontal="left" vertical="center" wrapText="1" indent="2"/>
    </xf>
    <xf numFmtId="176" fontId="64" fillId="0" borderId="59" xfId="49" applyNumberFormat="1" applyFont="1" applyBorder="1" applyAlignment="1">
      <alignment horizontal="left" vertical="center" wrapText="1" indent="2"/>
    </xf>
    <xf numFmtId="176" fontId="56" fillId="28" borderId="0" xfId="49" applyNumberFormat="1" applyFont="1" applyFill="1" applyAlignment="1">
      <alignment horizontal="center" vertical="center" wrapText="1"/>
    </xf>
    <xf numFmtId="176" fontId="64" fillId="28" borderId="33" xfId="49" applyNumberFormat="1" applyFont="1" applyFill="1" applyBorder="1" applyAlignment="1">
      <alignment horizontal="center" vertical="center" wrapText="1"/>
    </xf>
    <xf numFmtId="176" fontId="64" fillId="28" borderId="35" xfId="49" applyNumberFormat="1" applyFont="1" applyFill="1" applyBorder="1" applyAlignment="1">
      <alignment horizontal="center" vertical="center" wrapText="1"/>
    </xf>
    <xf numFmtId="176" fontId="64" fillId="28" borderId="34" xfId="49" applyNumberFormat="1" applyFont="1" applyFill="1" applyBorder="1" applyAlignment="1">
      <alignment horizontal="center" vertical="center"/>
    </xf>
    <xf numFmtId="176" fontId="64" fillId="28" borderId="140" xfId="49" applyNumberFormat="1" applyFont="1" applyFill="1" applyBorder="1" applyAlignment="1">
      <alignment horizontal="center" vertical="center"/>
    </xf>
    <xf numFmtId="176" fontId="64" fillId="28" borderId="34" xfId="49" applyNumberFormat="1" applyFont="1" applyFill="1" applyBorder="1" applyAlignment="1">
      <alignment horizontal="center" vertical="center" wrapText="1"/>
    </xf>
    <xf numFmtId="176" fontId="64" fillId="28" borderId="140" xfId="49" applyNumberFormat="1" applyFont="1" applyFill="1" applyBorder="1" applyAlignment="1">
      <alignment horizontal="center" vertical="center" wrapText="1"/>
    </xf>
    <xf numFmtId="176" fontId="64" fillId="28" borderId="36" xfId="49" applyNumberFormat="1" applyFont="1" applyFill="1" applyBorder="1" applyAlignment="1">
      <alignment horizontal="center" vertical="center"/>
    </xf>
    <xf numFmtId="176" fontId="64" fillId="28" borderId="37" xfId="49" applyNumberFormat="1" applyFont="1" applyFill="1" applyBorder="1" applyAlignment="1">
      <alignment horizontal="center" vertical="center"/>
    </xf>
    <xf numFmtId="0" fontId="76" fillId="0" borderId="0" xfId="49" applyFont="1" applyAlignment="1">
      <alignment horizontal="left" wrapText="1"/>
    </xf>
    <xf numFmtId="0" fontId="121" fillId="0" borderId="0" xfId="49" applyFont="1" applyAlignment="1">
      <alignment horizontal="right"/>
    </xf>
    <xf numFmtId="0" fontId="65" fillId="0" borderId="0" xfId="49" applyFont="1" applyAlignment="1">
      <alignment horizontal="center" wrapText="1"/>
    </xf>
    <xf numFmtId="0" fontId="65" fillId="0" borderId="0" xfId="49" applyFont="1" applyAlignment="1">
      <alignment horizontal="center"/>
    </xf>
    <xf numFmtId="3" fontId="68" fillId="0" borderId="1" xfId="49" applyNumberFormat="1" applyFont="1" applyBorder="1" applyAlignment="1">
      <alignment horizontal="center" vertical="center"/>
    </xf>
    <xf numFmtId="3" fontId="66" fillId="0" borderId="1" xfId="49" applyNumberFormat="1" applyFont="1" applyBorder="1" applyAlignment="1">
      <alignment horizontal="center" vertical="center"/>
    </xf>
    <xf numFmtId="3" fontId="69" fillId="0" borderId="125" xfId="49" applyNumberFormat="1" applyFont="1" applyBorder="1" applyAlignment="1">
      <alignment horizontal="center" vertical="center" wrapText="1"/>
    </xf>
    <xf numFmtId="3" fontId="69" fillId="0" borderId="94" xfId="49" applyNumberFormat="1" applyFont="1" applyBorder="1" applyAlignment="1">
      <alignment horizontal="center" vertical="center" wrapText="1"/>
    </xf>
    <xf numFmtId="3" fontId="69" fillId="0" borderId="127" xfId="49" applyNumberFormat="1" applyFont="1" applyBorder="1" applyAlignment="1">
      <alignment horizontal="center" vertical="center" wrapText="1"/>
    </xf>
    <xf numFmtId="0" fontId="82" fillId="28" borderId="0" xfId="72" applyFont="1" applyFill="1" applyAlignment="1" applyProtection="1">
      <alignment horizontal="center" vertical="center" wrapText="1"/>
      <protection locked="0"/>
    </xf>
    <xf numFmtId="0" fontId="80" fillId="28" borderId="135" xfId="72" applyFill="1" applyBorder="1" applyAlignment="1">
      <alignment horizontal="center"/>
    </xf>
    <xf numFmtId="0" fontId="93" fillId="28" borderId="142" xfId="72" applyFont="1" applyFill="1" applyBorder="1" applyAlignment="1">
      <alignment horizontal="right" wrapText="1"/>
    </xf>
    <xf numFmtId="0" fontId="125" fillId="0" borderId="152" xfId="49" applyFont="1" applyBorder="1" applyAlignment="1">
      <alignment horizontal="center" vertical="center" wrapText="1"/>
    </xf>
    <xf numFmtId="0" fontId="67" fillId="0" borderId="153" xfId="49" applyFont="1" applyBorder="1" applyAlignment="1">
      <alignment vertical="center"/>
    </xf>
    <xf numFmtId="0" fontId="67" fillId="0" borderId="154" xfId="49" applyFont="1" applyBorder="1" applyAlignment="1">
      <alignment vertical="center"/>
    </xf>
    <xf numFmtId="0" fontId="133" fillId="0" borderId="0" xfId="49" applyFont="1" applyAlignment="1">
      <alignment horizontal="center" vertical="top" wrapText="1"/>
    </xf>
    <xf numFmtId="0" fontId="134" fillId="0" borderId="0" xfId="49" applyFont="1"/>
    <xf numFmtId="0" fontId="96" fillId="0" borderId="0" xfId="49" applyFont="1" applyAlignment="1">
      <alignment horizontal="right" vertical="center"/>
    </xf>
    <xf numFmtId="0" fontId="53" fillId="0" borderId="0" xfId="49" applyFont="1" applyAlignment="1">
      <alignment horizontal="right" vertical="center" wrapText="1"/>
    </xf>
    <xf numFmtId="0" fontId="96" fillId="0" borderId="0" xfId="49" applyFont="1" applyAlignment="1">
      <alignment horizontal="right" vertical="center" wrapText="1"/>
    </xf>
    <xf numFmtId="0" fontId="106" fillId="0" borderId="1" xfId="49" applyFont="1" applyBorder="1" applyAlignment="1">
      <alignment horizontal="center" vertical="center" wrapText="1"/>
    </xf>
    <xf numFmtId="0" fontId="53" fillId="0" borderId="0" xfId="49" applyFont="1" applyAlignment="1">
      <alignment horizontal="right" vertical="center"/>
    </xf>
    <xf numFmtId="0" fontId="95" fillId="0" borderId="8" xfId="49" applyFont="1" applyBorder="1" applyAlignment="1">
      <alignment horizontal="center" vertical="center" wrapText="1"/>
    </xf>
    <xf numFmtId="0" fontId="95" fillId="0" borderId="9" xfId="49" applyFont="1" applyBorder="1" applyAlignment="1">
      <alignment horizontal="center" vertical="center" wrapText="1"/>
    </xf>
    <xf numFmtId="0" fontId="106" fillId="0" borderId="21" xfId="49" applyFont="1" applyBorder="1" applyAlignment="1">
      <alignment horizontal="center" vertical="center" wrapText="1"/>
    </xf>
    <xf numFmtId="0" fontId="106" fillId="0" borderId="23" xfId="49" applyFont="1" applyBorder="1" applyAlignment="1">
      <alignment horizontal="center" vertical="center" wrapText="1"/>
    </xf>
    <xf numFmtId="0" fontId="106" fillId="0" borderId="22" xfId="49" applyFont="1" applyBorder="1" applyAlignment="1">
      <alignment horizontal="center" vertical="center" wrapText="1"/>
    </xf>
    <xf numFmtId="0" fontId="107" fillId="0" borderId="1" xfId="49" applyFont="1" applyBorder="1" applyAlignment="1">
      <alignment horizontal="center" vertical="center" wrapText="1"/>
    </xf>
    <xf numFmtId="0" fontId="106" fillId="25" borderId="0" xfId="49" applyFont="1" applyFill="1" applyAlignment="1">
      <alignment horizontal="center" vertical="center" wrapText="1"/>
    </xf>
    <xf numFmtId="0" fontId="115" fillId="0" borderId="135" xfId="74" applyFont="1" applyBorder="1" applyAlignment="1">
      <alignment horizontal="center" vertical="center" wrapText="1"/>
    </xf>
    <xf numFmtId="0" fontId="117" fillId="0" borderId="141" xfId="74" applyFont="1" applyBorder="1" applyAlignment="1">
      <alignment horizontal="center" vertical="center" wrapText="1"/>
    </xf>
    <xf numFmtId="0" fontId="117" fillId="0" borderId="170" xfId="74" applyFont="1" applyBorder="1" applyAlignment="1">
      <alignment horizontal="center" vertical="center" wrapText="1"/>
    </xf>
    <xf numFmtId="0" fontId="117" fillId="0" borderId="150" xfId="74" applyFont="1" applyBorder="1" applyAlignment="1">
      <alignment horizontal="center" vertical="center" wrapText="1"/>
    </xf>
    <xf numFmtId="0" fontId="117" fillId="0" borderId="54" xfId="74" applyFont="1" applyBorder="1" applyAlignment="1">
      <alignment horizontal="center" vertical="center" wrapText="1"/>
    </xf>
    <xf numFmtId="0" fontId="117" fillId="0" borderId="127" xfId="74" applyFont="1" applyBorder="1" applyAlignment="1">
      <alignment horizontal="center" vertical="center" wrapText="1"/>
    </xf>
    <xf numFmtId="167" fontId="117" fillId="0" borderId="150" xfId="101" applyNumberFormat="1" applyFont="1" applyBorder="1" applyAlignment="1">
      <alignment horizontal="center" vertical="center" wrapText="1"/>
    </xf>
    <xf numFmtId="167" fontId="117" fillId="0" borderId="54" xfId="101" applyNumberFormat="1" applyFont="1" applyBorder="1" applyAlignment="1">
      <alignment horizontal="center" vertical="center" wrapText="1"/>
    </xf>
    <xf numFmtId="167" fontId="117" fillId="0" borderId="127" xfId="101" applyNumberFormat="1" applyFont="1" applyBorder="1" applyAlignment="1">
      <alignment horizontal="center" vertical="center" wrapText="1"/>
    </xf>
    <xf numFmtId="0" fontId="101" fillId="25" borderId="88" xfId="76" applyFont="1" applyFill="1" applyBorder="1" applyAlignment="1">
      <alignment horizontal="left" vertical="center" wrapText="1"/>
    </xf>
    <xf numFmtId="0" fontId="64" fillId="25" borderId="1" xfId="78" applyFont="1" applyFill="1" applyBorder="1" applyAlignment="1">
      <alignment horizontal="center" vertical="center"/>
    </xf>
    <xf numFmtId="0" fontId="101" fillId="25" borderId="86" xfId="76" applyFont="1" applyFill="1" applyBorder="1" applyAlignment="1">
      <alignment horizontal="left" vertical="center"/>
    </xf>
    <xf numFmtId="0" fontId="101" fillId="25" borderId="45" xfId="76" applyFont="1" applyFill="1" applyBorder="1" applyAlignment="1">
      <alignment horizontal="left" vertical="center"/>
    </xf>
    <xf numFmtId="0" fontId="101" fillId="25" borderId="66" xfId="76" applyFont="1" applyFill="1" applyBorder="1" applyAlignment="1">
      <alignment horizontal="left" vertical="center"/>
    </xf>
    <xf numFmtId="0" fontId="101" fillId="25" borderId="111" xfId="76" applyFont="1" applyFill="1" applyBorder="1" applyAlignment="1">
      <alignment horizontal="left" vertical="center"/>
    </xf>
    <xf numFmtId="0" fontId="101" fillId="25" borderId="56" xfId="76" applyFont="1" applyFill="1" applyBorder="1" applyAlignment="1">
      <alignment horizontal="left" vertical="center"/>
    </xf>
    <xf numFmtId="0" fontId="101" fillId="25" borderId="57" xfId="76" applyFont="1" applyFill="1" applyBorder="1" applyAlignment="1">
      <alignment horizontal="left" vertical="center"/>
    </xf>
    <xf numFmtId="0" fontId="100" fillId="25" borderId="21" xfId="76" applyFont="1" applyFill="1" applyBorder="1" applyAlignment="1">
      <alignment horizontal="center" vertical="center"/>
    </xf>
    <xf numFmtId="0" fontId="100" fillId="25" borderId="173" xfId="76" applyFont="1" applyFill="1" applyBorder="1" applyAlignment="1">
      <alignment horizontal="center" vertical="center"/>
    </xf>
    <xf numFmtId="0" fontId="100" fillId="25" borderId="174" xfId="76" applyFont="1" applyFill="1" applyBorder="1" applyAlignment="1">
      <alignment horizontal="center" vertical="center"/>
    </xf>
    <xf numFmtId="0" fontId="100" fillId="25" borderId="0" xfId="76" applyFont="1" applyFill="1" applyAlignment="1">
      <alignment horizontal="left"/>
    </xf>
    <xf numFmtId="0" fontId="101" fillId="25" borderId="156" xfId="76" applyFont="1" applyFill="1" applyBorder="1" applyAlignment="1">
      <alignment horizontal="center" vertical="center"/>
    </xf>
    <xf numFmtId="0" fontId="101" fillId="25" borderId="157" xfId="76" applyFont="1" applyFill="1" applyBorder="1" applyAlignment="1">
      <alignment horizontal="center" vertical="center"/>
    </xf>
    <xf numFmtId="0" fontId="101" fillId="25" borderId="175" xfId="76" applyFont="1" applyFill="1" applyBorder="1" applyAlignment="1">
      <alignment horizontal="left" vertical="center"/>
    </xf>
    <xf numFmtId="0" fontId="64" fillId="25" borderId="0" xfId="49" applyFont="1" applyFill="1" applyAlignment="1">
      <alignment horizontal="center" wrapText="1"/>
    </xf>
    <xf numFmtId="0" fontId="101" fillId="25" borderId="161" xfId="76" applyFont="1" applyFill="1" applyBorder="1" applyAlignment="1">
      <alignment horizontal="left" vertical="center"/>
    </xf>
    <xf numFmtId="0" fontId="101" fillId="25" borderId="162" xfId="76" applyFont="1" applyFill="1" applyBorder="1" applyAlignment="1">
      <alignment horizontal="left" vertical="center"/>
    </xf>
    <xf numFmtId="0" fontId="101" fillId="25" borderId="163" xfId="76" applyFont="1" applyFill="1" applyBorder="1" applyAlignment="1">
      <alignment horizontal="left" vertical="center"/>
    </xf>
    <xf numFmtId="0" fontId="101" fillId="25" borderId="96" xfId="76" applyFont="1" applyFill="1" applyBorder="1" applyAlignment="1">
      <alignment horizontal="left" vertical="center"/>
    </xf>
    <xf numFmtId="0" fontId="101" fillId="25" borderId="97" xfId="76" applyFont="1" applyFill="1" applyBorder="1" applyAlignment="1">
      <alignment horizontal="left" vertical="center"/>
    </xf>
    <xf numFmtId="0" fontId="101" fillId="25" borderId="99" xfId="76" applyFont="1" applyFill="1" applyBorder="1" applyAlignment="1">
      <alignment horizontal="left" vertical="center"/>
    </xf>
    <xf numFmtId="0" fontId="101" fillId="25" borderId="104" xfId="76" applyFont="1" applyFill="1" applyBorder="1" applyAlignment="1">
      <alignment horizontal="left" vertical="center"/>
    </xf>
    <xf numFmtId="0" fontId="101" fillId="25" borderId="105" xfId="76" applyFont="1" applyFill="1" applyBorder="1" applyAlignment="1">
      <alignment horizontal="left" vertical="center"/>
    </xf>
    <xf numFmtId="0" fontId="101" fillId="25" borderId="106" xfId="76" applyFont="1" applyFill="1" applyBorder="1" applyAlignment="1">
      <alignment horizontal="left" vertical="center"/>
    </xf>
    <xf numFmtId="0" fontId="100" fillId="25" borderId="167" xfId="76" applyFont="1" applyFill="1" applyBorder="1" applyAlignment="1">
      <alignment horizontal="center" vertical="center"/>
    </xf>
    <xf numFmtId="0" fontId="100" fillId="25" borderId="168" xfId="76" applyFont="1" applyFill="1" applyBorder="1" applyAlignment="1">
      <alignment horizontal="center" vertical="center"/>
    </xf>
    <xf numFmtId="0" fontId="100" fillId="25" borderId="169" xfId="76" applyFont="1" applyFill="1" applyBorder="1" applyAlignment="1">
      <alignment horizontal="center" vertical="center"/>
    </xf>
    <xf numFmtId="0" fontId="101" fillId="25" borderId="1" xfId="76" applyFont="1" applyFill="1" applyBorder="1" applyAlignment="1">
      <alignment horizontal="center" vertical="center"/>
    </xf>
    <xf numFmtId="0" fontId="101" fillId="25" borderId="40" xfId="76" applyFont="1" applyFill="1" applyBorder="1" applyAlignment="1">
      <alignment horizontal="left" vertical="center"/>
    </xf>
    <xf numFmtId="0" fontId="101" fillId="25" borderId="3" xfId="76" applyFont="1" applyFill="1" applyBorder="1" applyAlignment="1">
      <alignment horizontal="left" vertical="center"/>
    </xf>
    <xf numFmtId="0" fontId="101" fillId="25" borderId="4" xfId="76" applyFont="1" applyFill="1" applyBorder="1" applyAlignment="1">
      <alignment horizontal="left" vertical="center"/>
    </xf>
    <xf numFmtId="0" fontId="0" fillId="0" borderId="70" xfId="0" applyBorder="1" applyAlignment="1">
      <alignment horizontal="center" vertical="center" wrapText="1"/>
    </xf>
    <xf numFmtId="0" fontId="0" fillId="0" borderId="207" xfId="0" applyBorder="1" applyAlignment="1">
      <alignment horizontal="center" vertical="center"/>
    </xf>
    <xf numFmtId="42" fontId="0" fillId="28" borderId="208" xfId="0" applyNumberFormat="1" applyFill="1" applyBorder="1" applyAlignment="1">
      <alignment horizontal="center" vertical="center"/>
    </xf>
    <xf numFmtId="42" fontId="0" fillId="28" borderId="209" xfId="0" applyNumberFormat="1" applyFill="1" applyBorder="1" applyAlignment="1">
      <alignment horizontal="center" vertical="center"/>
    </xf>
    <xf numFmtId="42" fontId="0" fillId="28" borderId="207" xfId="0" applyNumberForma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 wrapText="1"/>
    </xf>
    <xf numFmtId="0" fontId="54" fillId="0" borderId="114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169" fontId="0" fillId="28" borderId="181" xfId="0" applyNumberFormat="1" applyFill="1" applyBorder="1" applyAlignment="1">
      <alignment horizontal="center" vertical="center"/>
    </xf>
    <xf numFmtId="169" fontId="0" fillId="28" borderId="117" xfId="0" applyNumberFormat="1" applyFill="1" applyBorder="1" applyAlignment="1">
      <alignment horizontal="center" vertical="center"/>
    </xf>
    <xf numFmtId="169" fontId="0" fillId="28" borderId="73" xfId="0" applyNumberFormat="1" applyFill="1" applyBorder="1" applyAlignment="1">
      <alignment horizontal="center" vertical="center"/>
    </xf>
    <xf numFmtId="0" fontId="99" fillId="0" borderId="90" xfId="0" applyFont="1" applyBorder="1" applyAlignment="1">
      <alignment horizontal="left" wrapText="1"/>
    </xf>
    <xf numFmtId="42" fontId="0" fillId="0" borderId="208" xfId="0" applyNumberFormat="1" applyBorder="1" applyAlignment="1">
      <alignment horizontal="center" vertical="center"/>
    </xf>
    <xf numFmtId="42" fontId="0" fillId="0" borderId="207" xfId="0" applyNumberFormat="1" applyBorder="1" applyAlignment="1">
      <alignment horizontal="center" vertical="center"/>
    </xf>
    <xf numFmtId="0" fontId="0" fillId="0" borderId="74" xfId="0" applyBorder="1" applyAlignment="1">
      <alignment wrapText="1"/>
    </xf>
    <xf numFmtId="0" fontId="0" fillId="0" borderId="0" xfId="0" applyAlignment="1">
      <alignment wrapText="1"/>
    </xf>
    <xf numFmtId="0" fontId="99" fillId="0" borderId="9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169" fontId="0" fillId="0" borderId="182" xfId="0" applyNumberFormat="1" applyBorder="1" applyAlignment="1">
      <alignment horizontal="center" vertical="center"/>
    </xf>
    <xf numFmtId="169" fontId="0" fillId="0" borderId="183" xfId="0" applyNumberFormat="1" applyBorder="1" applyAlignment="1">
      <alignment horizontal="center" vertical="center"/>
    </xf>
    <xf numFmtId="169" fontId="0" fillId="0" borderId="184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77" xfId="0" applyBorder="1" applyAlignment="1">
      <alignment horizontal="center"/>
    </xf>
    <xf numFmtId="0" fontId="54" fillId="0" borderId="177" xfId="0" applyFont="1" applyBorder="1" applyAlignment="1">
      <alignment horizontal="center" vertical="center"/>
    </xf>
    <xf numFmtId="0" fontId="118" fillId="0" borderId="0" xfId="0" applyFont="1" applyAlignment="1">
      <alignment horizontal="center" wrapText="1"/>
    </xf>
    <xf numFmtId="0" fontId="119" fillId="0" borderId="0" xfId="0" applyFont="1" applyAlignment="1">
      <alignment horizontal="center"/>
    </xf>
    <xf numFmtId="0" fontId="0" fillId="0" borderId="177" xfId="0" applyBorder="1" applyAlignment="1">
      <alignment horizontal="center" vertical="center"/>
    </xf>
    <xf numFmtId="0" fontId="0" fillId="0" borderId="90" xfId="0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54" fillId="0" borderId="68" xfId="0" applyFont="1" applyBorder="1" applyAlignment="1">
      <alignment horizontal="center" vertical="center" wrapText="1"/>
    </xf>
    <xf numFmtId="0" fontId="0" fillId="0" borderId="207" xfId="0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207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 wrapText="1"/>
    </xf>
    <xf numFmtId="0" fontId="0" fillId="34" borderId="207" xfId="0" applyFill="1" applyBorder="1" applyAlignment="1">
      <alignment horizontal="center" vertical="center"/>
    </xf>
    <xf numFmtId="0" fontId="54" fillId="34" borderId="210" xfId="0" applyFont="1" applyFill="1" applyBorder="1" applyAlignment="1">
      <alignment horizontal="center" vertical="center" wrapText="1"/>
    </xf>
    <xf numFmtId="0" fontId="54" fillId="34" borderId="180" xfId="0" applyFont="1" applyFill="1" applyBorder="1" applyAlignment="1">
      <alignment horizontal="center" vertical="center" wrapText="1"/>
    </xf>
    <xf numFmtId="0" fontId="54" fillId="35" borderId="210" xfId="0" applyFont="1" applyFill="1" applyBorder="1" applyAlignment="1">
      <alignment horizontal="center" vertical="center" wrapText="1"/>
    </xf>
    <xf numFmtId="0" fontId="54" fillId="35" borderId="180" xfId="0" applyFont="1" applyFill="1" applyBorder="1" applyAlignment="1">
      <alignment horizontal="center" vertical="center" wrapText="1"/>
    </xf>
    <xf numFmtId="0" fontId="0" fillId="0" borderId="178" xfId="0" applyBorder="1" applyAlignment="1">
      <alignment horizontal="center"/>
    </xf>
    <xf numFmtId="0" fontId="0" fillId="0" borderId="180" xfId="0" applyBorder="1" applyAlignment="1">
      <alignment horizontal="center"/>
    </xf>
    <xf numFmtId="0" fontId="77" fillId="0" borderId="0" xfId="0" applyFont="1" applyAlignment="1">
      <alignment horizontal="center" wrapText="1"/>
    </xf>
    <xf numFmtId="0" fontId="49" fillId="0" borderId="0" xfId="70" applyFont="1" applyAlignment="1">
      <alignment horizontal="center" vertical="center" wrapText="1"/>
    </xf>
    <xf numFmtId="0" fontId="52" fillId="0" borderId="0" xfId="75" applyFont="1" applyAlignment="1">
      <alignment horizontal="left" wrapText="1"/>
    </xf>
    <xf numFmtId="0" fontId="79" fillId="0" borderId="0" xfId="75" applyFont="1" applyAlignment="1">
      <alignment horizontal="center"/>
    </xf>
    <xf numFmtId="0" fontId="96" fillId="31" borderId="177" xfId="0" applyFont="1" applyFill="1" applyBorder="1" applyAlignment="1">
      <alignment horizontal="center" vertical="center" wrapText="1"/>
    </xf>
    <xf numFmtId="0" fontId="96" fillId="31" borderId="150" xfId="0" applyFont="1" applyFill="1" applyBorder="1" applyAlignment="1">
      <alignment horizontal="center" vertical="center" wrapText="1"/>
    </xf>
    <xf numFmtId="0" fontId="96" fillId="31" borderId="54" xfId="0" applyFont="1" applyFill="1" applyBorder="1" applyAlignment="1">
      <alignment horizontal="center" vertical="center" wrapText="1"/>
    </xf>
    <xf numFmtId="0" fontId="96" fillId="31" borderId="127" xfId="0" applyFont="1" applyFill="1" applyBorder="1" applyAlignment="1">
      <alignment horizontal="center" vertical="center" wrapText="1"/>
    </xf>
    <xf numFmtId="0" fontId="96" fillId="31" borderId="141" xfId="0" applyFont="1" applyFill="1" applyBorder="1" applyAlignment="1">
      <alignment horizontal="center" vertical="center" wrapText="1"/>
    </xf>
    <xf numFmtId="0" fontId="96" fillId="31" borderId="142" xfId="0" applyFont="1" applyFill="1" applyBorder="1" applyAlignment="1">
      <alignment horizontal="center" vertical="center" wrapText="1"/>
    </xf>
    <xf numFmtId="0" fontId="96" fillId="31" borderId="143" xfId="0" applyFont="1" applyFill="1" applyBorder="1" applyAlignment="1">
      <alignment horizontal="center" vertical="center" wrapText="1"/>
    </xf>
    <xf numFmtId="0" fontId="96" fillId="31" borderId="211" xfId="0" applyFont="1" applyFill="1" applyBorder="1" applyAlignment="1">
      <alignment horizontal="center" vertical="center" wrapText="1"/>
    </xf>
    <xf numFmtId="0" fontId="96" fillId="31" borderId="135" xfId="0" applyFont="1" applyFill="1" applyBorder="1" applyAlignment="1">
      <alignment horizontal="center" vertical="center" wrapText="1"/>
    </xf>
    <xf numFmtId="0" fontId="96" fillId="31" borderId="21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96" fillId="31" borderId="178" xfId="0" applyFont="1" applyFill="1" applyBorder="1" applyAlignment="1">
      <alignment horizontal="center" vertical="center" wrapText="1"/>
    </xf>
    <xf numFmtId="0" fontId="96" fillId="31" borderId="180" xfId="0" applyFont="1" applyFill="1" applyBorder="1" applyAlignment="1">
      <alignment horizontal="center" vertical="center" wrapText="1"/>
    </xf>
    <xf numFmtId="0" fontId="52" fillId="0" borderId="0" xfId="75" applyFont="1" applyAlignment="1">
      <alignment horizontal="center" wrapText="1"/>
    </xf>
    <xf numFmtId="0" fontId="96" fillId="31" borderId="170" xfId="0" applyFont="1" applyFill="1" applyBorder="1" applyAlignment="1">
      <alignment horizontal="center" vertical="center" wrapText="1"/>
    </xf>
    <xf numFmtId="0" fontId="96" fillId="31" borderId="0" xfId="0" applyFont="1" applyFill="1" applyAlignment="1">
      <alignment horizontal="center" vertical="center" wrapText="1"/>
    </xf>
  </cellXfs>
  <cellStyles count="132">
    <cellStyle name="20% - Accent1" xfId="3" xr:uid="{00000000-0005-0000-0000-000000000000}"/>
    <cellStyle name="20% - Accent1 2" xfId="88" xr:uid="{00000000-0005-0000-0000-000001000000}"/>
    <cellStyle name="20% - Accent2" xfId="4" xr:uid="{00000000-0005-0000-0000-000002000000}"/>
    <cellStyle name="20% - Accent2 2" xfId="89" xr:uid="{00000000-0005-0000-0000-000003000000}"/>
    <cellStyle name="20% - Accent3" xfId="5" xr:uid="{00000000-0005-0000-0000-000004000000}"/>
    <cellStyle name="20% - Accent3 2" xfId="90" xr:uid="{00000000-0005-0000-0000-000005000000}"/>
    <cellStyle name="20% - Accent4" xfId="6" xr:uid="{00000000-0005-0000-0000-000006000000}"/>
    <cellStyle name="20% - Accent4 2" xfId="91" xr:uid="{00000000-0005-0000-0000-000007000000}"/>
    <cellStyle name="20% - Accent5" xfId="7" xr:uid="{00000000-0005-0000-0000-000008000000}"/>
    <cellStyle name="20% - Accent5 2" xfId="92" xr:uid="{00000000-0005-0000-0000-000009000000}"/>
    <cellStyle name="20% - Accent6" xfId="8" xr:uid="{00000000-0005-0000-0000-00000A000000}"/>
    <cellStyle name="20% - Accent6 2" xfId="93" xr:uid="{00000000-0005-0000-0000-00000B000000}"/>
    <cellStyle name="40% - Accent1" xfId="9" xr:uid="{00000000-0005-0000-0000-00000C000000}"/>
    <cellStyle name="40% - Accent1 2" xfId="94" xr:uid="{00000000-0005-0000-0000-00000D000000}"/>
    <cellStyle name="40% - Accent2" xfId="10" xr:uid="{00000000-0005-0000-0000-00000E000000}"/>
    <cellStyle name="40% - Accent2 2" xfId="95" xr:uid="{00000000-0005-0000-0000-00000F000000}"/>
    <cellStyle name="40% - Accent3" xfId="11" xr:uid="{00000000-0005-0000-0000-000010000000}"/>
    <cellStyle name="40% - Accent3 2" xfId="96" xr:uid="{00000000-0005-0000-0000-000011000000}"/>
    <cellStyle name="40% - Accent4" xfId="12" xr:uid="{00000000-0005-0000-0000-000012000000}"/>
    <cellStyle name="40% - Accent4 2" xfId="97" xr:uid="{00000000-0005-0000-0000-000013000000}"/>
    <cellStyle name="40% - Accent5" xfId="13" xr:uid="{00000000-0005-0000-0000-000014000000}"/>
    <cellStyle name="40% - Accent5 2" xfId="98" xr:uid="{00000000-0005-0000-0000-000015000000}"/>
    <cellStyle name="40% - Accent6" xfId="14" xr:uid="{00000000-0005-0000-0000-000016000000}"/>
    <cellStyle name="40% - Accent6 2" xfId="99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Accent1" xfId="21" xr:uid="{00000000-0005-0000-0000-00001E000000}"/>
    <cellStyle name="Accent2" xfId="22" xr:uid="{00000000-0005-0000-0000-00001F000000}"/>
    <cellStyle name="Accent3" xfId="23" xr:uid="{00000000-0005-0000-0000-000020000000}"/>
    <cellStyle name="Accent4" xfId="24" xr:uid="{00000000-0005-0000-0000-000021000000}"/>
    <cellStyle name="Accent5" xfId="25" xr:uid="{00000000-0005-0000-0000-000022000000}"/>
    <cellStyle name="Accent6" xfId="26" xr:uid="{00000000-0005-0000-0000-000023000000}"/>
    <cellStyle name="Bad" xfId="27" xr:uid="{00000000-0005-0000-0000-000024000000}"/>
    <cellStyle name="Calculation" xfId="28" xr:uid="{00000000-0005-0000-0000-000025000000}"/>
    <cellStyle name="Calculation 2" xfId="100" xr:uid="{00000000-0005-0000-0000-000026000000}"/>
    <cellStyle name="Check Cell" xfId="29" xr:uid="{00000000-0005-0000-0000-000027000000}"/>
    <cellStyle name="Explanatory Text" xfId="30" xr:uid="{00000000-0005-0000-0000-000028000000}"/>
    <cellStyle name="Ezres" xfId="1" builtinId="3"/>
    <cellStyle name="Ezres [0] 2" xfId="31" xr:uid="{00000000-0005-0000-0000-00002A000000}"/>
    <cellStyle name="Ezres 10" xfId="84" xr:uid="{00000000-0005-0000-0000-00002B000000}"/>
    <cellStyle name="Ezres 11" xfId="81" xr:uid="{00000000-0005-0000-0000-00002C000000}"/>
    <cellStyle name="Ezres 12" xfId="86" xr:uid="{00000000-0005-0000-0000-00002D000000}"/>
    <cellStyle name="Ezres 13" xfId="85" xr:uid="{00000000-0005-0000-0000-00002E000000}"/>
    <cellStyle name="Ezres 14" xfId="87" xr:uid="{00000000-0005-0000-0000-00002F000000}"/>
    <cellStyle name="Ezres 15" xfId="101" xr:uid="{00000000-0005-0000-0000-000030000000}"/>
    <cellStyle name="Ezres 2" xfId="32" xr:uid="{00000000-0005-0000-0000-000031000000}"/>
    <cellStyle name="Ezres 2 2" xfId="77" xr:uid="{00000000-0005-0000-0000-000032000000}"/>
    <cellStyle name="Ezres 3" xfId="33" xr:uid="{00000000-0005-0000-0000-000033000000}"/>
    <cellStyle name="Ezres 3 2" xfId="34" xr:uid="{00000000-0005-0000-0000-000034000000}"/>
    <cellStyle name="Ezres 3 3" xfId="102" xr:uid="{00000000-0005-0000-0000-000035000000}"/>
    <cellStyle name="Ezres 3_célhitel állomány 2010 tervezéshez" xfId="35" xr:uid="{00000000-0005-0000-0000-000036000000}"/>
    <cellStyle name="Ezres 4" xfId="36" xr:uid="{00000000-0005-0000-0000-000037000000}"/>
    <cellStyle name="Ezres 4 2" xfId="37" xr:uid="{00000000-0005-0000-0000-000038000000}"/>
    <cellStyle name="Ezres 4 3" xfId="103" xr:uid="{00000000-0005-0000-0000-000039000000}"/>
    <cellStyle name="Ezres 5" xfId="38" xr:uid="{00000000-0005-0000-0000-00003A000000}"/>
    <cellStyle name="Ezres 5 2" xfId="105" xr:uid="{00000000-0005-0000-0000-00003B000000}"/>
    <cellStyle name="Ezres 5 3" xfId="104" xr:uid="{00000000-0005-0000-0000-00003C000000}"/>
    <cellStyle name="Ezres 6" xfId="39" xr:uid="{00000000-0005-0000-0000-00003D000000}"/>
    <cellStyle name="Ezres 7" xfId="40" xr:uid="{00000000-0005-0000-0000-00003E000000}"/>
    <cellStyle name="Ezres 7 2" xfId="107" xr:uid="{00000000-0005-0000-0000-00003F000000}"/>
    <cellStyle name="Ezres 7 3" xfId="108" xr:uid="{00000000-0005-0000-0000-000040000000}"/>
    <cellStyle name="Ezres 7 4" xfId="106" xr:uid="{00000000-0005-0000-0000-000041000000}"/>
    <cellStyle name="Ezres 8" xfId="80" xr:uid="{00000000-0005-0000-0000-000042000000}"/>
    <cellStyle name="Ezres 8 2" xfId="109" xr:uid="{00000000-0005-0000-0000-000043000000}"/>
    <cellStyle name="Ezres 9" xfId="82" xr:uid="{00000000-0005-0000-0000-000044000000}"/>
    <cellStyle name="Good" xfId="41" xr:uid="{00000000-0005-0000-0000-000045000000}"/>
    <cellStyle name="Heading 1" xfId="42" xr:uid="{00000000-0005-0000-0000-000046000000}"/>
    <cellStyle name="Heading 2" xfId="43" xr:uid="{00000000-0005-0000-0000-000047000000}"/>
    <cellStyle name="Heading 3" xfId="44" xr:uid="{00000000-0005-0000-0000-000048000000}"/>
    <cellStyle name="Heading 4" xfId="45" xr:uid="{00000000-0005-0000-0000-000049000000}"/>
    <cellStyle name="Input" xfId="46" xr:uid="{00000000-0005-0000-0000-00004A000000}"/>
    <cellStyle name="Input 2" xfId="110" xr:uid="{00000000-0005-0000-0000-00004B000000}"/>
    <cellStyle name="Linked Cell" xfId="47" xr:uid="{00000000-0005-0000-0000-00004C000000}"/>
    <cellStyle name="Neutral" xfId="48" xr:uid="{00000000-0005-0000-0000-00004D000000}"/>
    <cellStyle name="Normál" xfId="0" builtinId="0"/>
    <cellStyle name="Normál 2" xfId="49" xr:uid="{00000000-0005-0000-0000-00004F000000}"/>
    <cellStyle name="Normál 2 2" xfId="50" xr:uid="{00000000-0005-0000-0000-000050000000}"/>
    <cellStyle name="Normál 2 3" xfId="112" xr:uid="{00000000-0005-0000-0000-000051000000}"/>
    <cellStyle name="Normál 2 4" xfId="51" xr:uid="{00000000-0005-0000-0000-000052000000}"/>
    <cellStyle name="Normál 2 5" xfId="111" xr:uid="{00000000-0005-0000-0000-000053000000}"/>
    <cellStyle name="Normál 2_4.4.5 utca Könyvvizsgálói tábla" xfId="52" xr:uid="{00000000-0005-0000-0000-000054000000}"/>
    <cellStyle name="Normál 3" xfId="53" xr:uid="{00000000-0005-0000-0000-000055000000}"/>
    <cellStyle name="Normál 3 2" xfId="113" xr:uid="{00000000-0005-0000-0000-000056000000}"/>
    <cellStyle name="Normál 4" xfId="54" xr:uid="{00000000-0005-0000-0000-000057000000}"/>
    <cellStyle name="Normál 4 2" xfId="76" xr:uid="{00000000-0005-0000-0000-000058000000}"/>
    <cellStyle name="Normál 5" xfId="55" xr:uid="{00000000-0005-0000-0000-000059000000}"/>
    <cellStyle name="Normál 5 2" xfId="56" xr:uid="{00000000-0005-0000-0000-00005A000000}"/>
    <cellStyle name="Normál 5 3" xfId="74" xr:uid="{00000000-0005-0000-0000-00005B000000}"/>
    <cellStyle name="Normál 6" xfId="114" xr:uid="{00000000-0005-0000-0000-00005C000000}"/>
    <cellStyle name="Normál 7" xfId="115" xr:uid="{00000000-0005-0000-0000-00005D000000}"/>
    <cellStyle name="Normál 7 2" xfId="73" xr:uid="{00000000-0005-0000-0000-00005E000000}"/>
    <cellStyle name="Normál 7 2 2" xfId="116" xr:uid="{00000000-0005-0000-0000-00005F000000}"/>
    <cellStyle name="Normál 8" xfId="117" xr:uid="{00000000-0005-0000-0000-000060000000}"/>
    <cellStyle name="Normál 9" xfId="130" xr:uid="{00000000-0005-0000-0000-000061000000}"/>
    <cellStyle name="Normál_2005.2.a-2.etábl. terv" xfId="78" xr:uid="{00000000-0005-0000-0000-000062000000}"/>
    <cellStyle name="Normál_2012 Költségvetés pályázatok" xfId="70" xr:uid="{00000000-0005-0000-0000-000063000000}"/>
    <cellStyle name="Normál_Másolat eredetijeZARSZREND11" xfId="72" xr:uid="{00000000-0005-0000-0000-000064000000}"/>
    <cellStyle name="Normál_Mese indikátor" xfId="75" xr:uid="{00000000-0005-0000-0000-000065000000}"/>
    <cellStyle name="Normál_Részesedések a mérlegalátámasztás 2.sz. melléklete" xfId="67" xr:uid="{00000000-0005-0000-0000-000066000000}"/>
    <cellStyle name="Normál_Támop indikátor" xfId="71" xr:uid="{00000000-0005-0000-0000-000067000000}"/>
    <cellStyle name="Normál_vagyon, egyszerűsített mérleg 2007. dec 31." xfId="68" xr:uid="{00000000-0005-0000-0000-000068000000}"/>
    <cellStyle name="Note" xfId="57" xr:uid="{00000000-0005-0000-0000-000069000000}"/>
    <cellStyle name="Note 2" xfId="119" xr:uid="{00000000-0005-0000-0000-00006A000000}"/>
    <cellStyle name="Note 3" xfId="118" xr:uid="{00000000-0005-0000-0000-00006B000000}"/>
    <cellStyle name="Output" xfId="58" xr:uid="{00000000-0005-0000-0000-00006C000000}"/>
    <cellStyle name="Output 2" xfId="120" xr:uid="{00000000-0005-0000-0000-00006D000000}"/>
    <cellStyle name="Pénznem" xfId="2" builtinId="4"/>
    <cellStyle name="Pénznem 2" xfId="59" xr:uid="{00000000-0005-0000-0000-00006F000000}"/>
    <cellStyle name="Pénznem 2 2" xfId="123" xr:uid="{00000000-0005-0000-0000-000070000000}"/>
    <cellStyle name="Pénznem 2 3" xfId="122" xr:uid="{00000000-0005-0000-0000-000071000000}"/>
    <cellStyle name="Pénznem 3" xfId="60" xr:uid="{00000000-0005-0000-0000-000072000000}"/>
    <cellStyle name="Pénznem 3 2" xfId="79" xr:uid="{00000000-0005-0000-0000-000073000000}"/>
    <cellStyle name="Pénznem 3 2 2" xfId="125" xr:uid="{00000000-0005-0000-0000-000074000000}"/>
    <cellStyle name="Pénznem 3 3" xfId="124" xr:uid="{00000000-0005-0000-0000-000075000000}"/>
    <cellStyle name="Pénznem 4" xfId="83" xr:uid="{00000000-0005-0000-0000-000076000000}"/>
    <cellStyle name="Pénznem 5" xfId="121" xr:uid="{00000000-0005-0000-0000-000077000000}"/>
    <cellStyle name="Százalék 2" xfId="61" xr:uid="{00000000-0005-0000-0000-000078000000}"/>
    <cellStyle name="Százalék 2 2" xfId="62" xr:uid="{00000000-0005-0000-0000-000079000000}"/>
    <cellStyle name="Százalék 2 3" xfId="127" xr:uid="{00000000-0005-0000-0000-00007A000000}"/>
    <cellStyle name="Százalék 2 4" xfId="131" xr:uid="{00000000-0005-0000-0000-00007B000000}"/>
    <cellStyle name="Százalék 2_zárszámadás 0407.II" xfId="63" xr:uid="{00000000-0005-0000-0000-00007C000000}"/>
    <cellStyle name="Százalék 3" xfId="69" xr:uid="{00000000-0005-0000-0000-00007D000000}"/>
    <cellStyle name="Százalék 3 2" xfId="128" xr:uid="{00000000-0005-0000-0000-00007E000000}"/>
    <cellStyle name="Százalék 4" xfId="126" xr:uid="{00000000-0005-0000-0000-00007F000000}"/>
    <cellStyle name="Title" xfId="64" xr:uid="{00000000-0005-0000-0000-000080000000}"/>
    <cellStyle name="Total" xfId="65" xr:uid="{00000000-0005-0000-0000-000081000000}"/>
    <cellStyle name="Total 2" xfId="129" xr:uid="{00000000-0005-0000-0000-000082000000}"/>
    <cellStyle name="Warning Text" xfId="66" xr:uid="{00000000-0005-0000-0000-00008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Hivatal\K&#246;z&#246;s\K&#201;PVISEL&#336;-TEST&#220;LET%20IRATAI\EL&#336;TERJESZT&#201;SEK\2022\2022.%2002.%2021\4.%20napirendi%20pont%201.%20mell&#233;klete.xlsx" TargetMode="External"/><Relationship Id="rId1" Type="http://schemas.openxmlformats.org/officeDocument/2006/relationships/externalLinkPath" Target="/K&#246;z&#246;s/K&#201;PVISEL&#336;-TEST&#220;LET%20IRATAI/EL&#336;TERJESZT&#201;SEK/2022/2022.%2002.%2021/4.%20napirendi%20pont%201.%20mell&#233;klet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Hivatal\P&#233;nz&#252;gy\2022\Z&#225;rsz&#225;mad&#225;s%202022\2022.%20z&#225;rsz&#225;mad&#225;s%20ei-vel%20Erika%2005.08.xlsx" TargetMode="External"/><Relationship Id="rId1" Type="http://schemas.openxmlformats.org/officeDocument/2006/relationships/externalLinkPath" Target="/P&#233;nz&#252;gy/2022/Z&#225;rsz&#225;mad&#225;s%202022/2022.%20z&#225;rsz&#225;mad&#225;s%20ei-vel%20Erika%2005.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stenbreinerika/Documents/P&#225;ly&#225;zatos%20t&#225;bl&#225;k%20ASP-b&#337;l/8.9.%20sz&#225;m&#250;%20sz&#225;mla&#246;sszes&#237;t&#337;k_DH%20csapviz_h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a sz. Önkormányzat 2022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Felh.célú tám.ÁHbelül"/>
      <sheetName val="13.sz. Közhatalmi bevételek"/>
      <sheetName val="14.sz.Felhalmozási bev"/>
      <sheetName val="15.sz.mell. Létszámtábla"/>
      <sheetName val="1.sz.tájék.tábla Közvetett tám"/>
      <sheetName val="2.sz.tájék.tábla Mérlegszerű"/>
      <sheetName val="3.sz.tájék.tábla Gördülő"/>
      <sheetName val="4.sz.tájék.táb. Többéves"/>
      <sheetName val="5.sz.tájék.táb Adósságszolgálat"/>
      <sheetName val="6.sz.tájék.tábla Hitelképes "/>
      <sheetName val="7.sz.tájék.táb.Likviditási terv"/>
      <sheetName val="8.sz.tájék.tábla Ütemterv"/>
      <sheetName val="9. sz. tájék.tábla EU-s pály."/>
      <sheetName val="10. sz.tájék.Nem EU-s pály. "/>
    </sheetNames>
    <sheetDataSet>
      <sheetData sheetId="0">
        <row r="33">
          <cell r="AN33">
            <v>31800000</v>
          </cell>
          <cell r="AO33">
            <v>751000</v>
          </cell>
          <cell r="AW33">
            <v>13039031</v>
          </cell>
          <cell r="AX33">
            <v>677580</v>
          </cell>
          <cell r="AY33">
            <v>5280000</v>
          </cell>
          <cell r="BE33">
            <v>10000000</v>
          </cell>
          <cell r="BN33">
            <v>65000000</v>
          </cell>
          <cell r="BP33">
            <v>65000000</v>
          </cell>
          <cell r="ET33">
            <v>89437785</v>
          </cell>
        </row>
      </sheetData>
      <sheetData sheetId="1"/>
      <sheetData sheetId="2">
        <row r="33">
          <cell r="L33">
            <v>341394</v>
          </cell>
        </row>
      </sheetData>
      <sheetData sheetId="3">
        <row r="33">
          <cell r="J33">
            <v>499020</v>
          </cell>
        </row>
      </sheetData>
      <sheetData sheetId="4"/>
      <sheetData sheetId="5"/>
      <sheetData sheetId="6"/>
      <sheetData sheetId="7"/>
      <sheetData sheetId="8">
        <row r="33">
          <cell r="F33">
            <v>5148600</v>
          </cell>
          <cell r="H33">
            <v>144500</v>
          </cell>
        </row>
      </sheetData>
      <sheetData sheetId="9"/>
      <sheetData sheetId="10"/>
      <sheetData sheetId="11">
        <row r="8">
          <cell r="G8">
            <v>2544712063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4">
          <cell r="B24">
            <v>14063032</v>
          </cell>
          <cell r="C24">
            <v>9743592</v>
          </cell>
          <cell r="D24">
            <v>4376000</v>
          </cell>
        </row>
        <row r="25">
          <cell r="B25">
            <v>14063032</v>
          </cell>
          <cell r="C25">
            <v>9743592</v>
          </cell>
          <cell r="D25">
            <v>4376000</v>
          </cell>
        </row>
        <row r="26">
          <cell r="B26">
            <v>14063032</v>
          </cell>
          <cell r="C26">
            <v>9743592</v>
          </cell>
          <cell r="D26">
            <v>4376000</v>
          </cell>
        </row>
        <row r="27">
          <cell r="B27">
            <v>14063032</v>
          </cell>
          <cell r="C27">
            <v>9743592</v>
          </cell>
          <cell r="D27">
            <v>4376000</v>
          </cell>
        </row>
        <row r="28">
          <cell r="B28">
            <v>14063032</v>
          </cell>
          <cell r="C28">
            <v>9743592</v>
          </cell>
          <cell r="D28">
            <v>4376000</v>
          </cell>
        </row>
        <row r="29">
          <cell r="B29">
            <v>14063032</v>
          </cell>
          <cell r="C29">
            <v>9743592</v>
          </cell>
          <cell r="D29">
            <v>4376000</v>
          </cell>
        </row>
        <row r="30">
          <cell r="B30">
            <v>14063032</v>
          </cell>
          <cell r="C30">
            <v>9743592</v>
          </cell>
          <cell r="D30">
            <v>4376000</v>
          </cell>
        </row>
        <row r="31">
          <cell r="B31">
            <v>14063032</v>
          </cell>
          <cell r="C31">
            <v>9743592</v>
          </cell>
          <cell r="D31">
            <v>4376000</v>
          </cell>
        </row>
        <row r="32">
          <cell r="B32">
            <v>14063032</v>
          </cell>
          <cell r="C32">
            <v>9743592</v>
          </cell>
          <cell r="D32">
            <v>4376000</v>
          </cell>
        </row>
        <row r="33">
          <cell r="B33">
            <v>14063032</v>
          </cell>
          <cell r="C33">
            <v>9743592</v>
          </cell>
          <cell r="D33">
            <v>4376000</v>
          </cell>
        </row>
        <row r="34">
          <cell r="B34">
            <v>14063032</v>
          </cell>
          <cell r="C34">
            <v>9743592</v>
          </cell>
          <cell r="D34">
            <v>4376000</v>
          </cell>
        </row>
        <row r="35">
          <cell r="B35">
            <v>14063032</v>
          </cell>
          <cell r="C35">
            <v>9743592</v>
          </cell>
          <cell r="D35">
            <v>4376000</v>
          </cell>
        </row>
        <row r="36">
          <cell r="B36">
            <v>14063032</v>
          </cell>
          <cell r="C36">
            <v>9743592</v>
          </cell>
          <cell r="D36">
            <v>4376000</v>
          </cell>
        </row>
        <row r="37">
          <cell r="B37">
            <v>14063032</v>
          </cell>
          <cell r="C37">
            <v>9743592</v>
          </cell>
          <cell r="D37">
            <v>4376000</v>
          </cell>
        </row>
        <row r="38">
          <cell r="B38">
            <v>14063032</v>
          </cell>
          <cell r="C38">
            <v>9743592</v>
          </cell>
          <cell r="D38">
            <v>4376000</v>
          </cell>
        </row>
        <row r="39">
          <cell r="B39">
            <v>14063032</v>
          </cell>
          <cell r="C39">
            <v>9743592</v>
          </cell>
          <cell r="D39">
            <v>4376000</v>
          </cell>
        </row>
        <row r="40">
          <cell r="B40">
            <v>14063032</v>
          </cell>
          <cell r="C40">
            <v>9743592</v>
          </cell>
          <cell r="D40">
            <v>4376000</v>
          </cell>
        </row>
        <row r="41">
          <cell r="B41">
            <v>7031547</v>
          </cell>
          <cell r="C41">
            <v>9743629</v>
          </cell>
          <cell r="D41">
            <v>4334633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a sz. Önkormányzat 2022. "/>
      <sheetName val="1.b sz. Önkormányzat 2022.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a.sz. Állami támogatás"/>
      <sheetName val="11.b.sz. Műk.célú tám.ÁHbelül"/>
      <sheetName val="12.sz.Felh.célú tám.ÁHbelül"/>
      <sheetName val="13.sz. Közhatalmi bevételek"/>
      <sheetName val="14.sz.Felhalmozási bev"/>
      <sheetName val="15.sz.mell. Létszámtábla"/>
    </sheetNames>
    <sheetDataSet>
      <sheetData sheetId="0">
        <row r="33">
          <cell r="DM33">
            <v>3601224</v>
          </cell>
          <cell r="EK33">
            <v>11809435</v>
          </cell>
          <cell r="EN33">
            <v>692780</v>
          </cell>
          <cell r="EQ33">
            <v>6092196</v>
          </cell>
          <cell r="FI33">
            <v>16091500</v>
          </cell>
          <cell r="GG33">
            <v>16945640</v>
          </cell>
          <cell r="GP33">
            <v>64823814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Y6">
            <v>686029083</v>
          </cell>
        </row>
        <row r="7">
          <cell r="Y7">
            <v>158811784</v>
          </cell>
        </row>
        <row r="8">
          <cell r="Y8">
            <v>26679802</v>
          </cell>
        </row>
        <row r="9">
          <cell r="Y9">
            <v>250144</v>
          </cell>
        </row>
        <row r="10">
          <cell r="Y10">
            <v>3779687975</v>
          </cell>
        </row>
        <row r="11">
          <cell r="Y11">
            <v>12389743</v>
          </cell>
        </row>
        <row r="13">
          <cell r="Y13">
            <v>188146</v>
          </cell>
        </row>
        <row r="16">
          <cell r="Y16">
            <v>4030000</v>
          </cell>
        </row>
        <row r="17">
          <cell r="Y17">
            <v>10000</v>
          </cell>
        </row>
        <row r="18">
          <cell r="Y18">
            <v>90000</v>
          </cell>
        </row>
      </sheetData>
      <sheetData sheetId="24">
        <row r="23">
          <cell r="V23">
            <v>741978797</v>
          </cell>
        </row>
      </sheetData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2017-2018"/>
      <sheetName val="Beadott számla1"/>
      <sheetName val="személyi"/>
      <sheetName val="Beadott számla 2"/>
      <sheetName val="személyi 2"/>
    </sheetNames>
    <sheetDataSet>
      <sheetData sheetId="0"/>
      <sheetData sheetId="1"/>
      <sheetData sheetId="2"/>
      <sheetData sheetId="3"/>
      <sheetData sheetId="4">
        <row r="39">
          <cell r="M39">
            <v>248039342.56</v>
          </cell>
        </row>
        <row r="41">
          <cell r="M41">
            <v>5739671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D23"/>
  <sheetViews>
    <sheetView zoomScaleNormal="100" workbookViewId="0">
      <selection activeCell="B22" sqref="B22:D23"/>
    </sheetView>
  </sheetViews>
  <sheetFormatPr defaultRowHeight="15" x14ac:dyDescent="0.25"/>
  <cols>
    <col min="2" max="4" width="16.7109375" customWidth="1"/>
  </cols>
  <sheetData>
    <row r="11" spans="2:4" ht="57.75" customHeight="1" x14ac:dyDescent="0.25">
      <c r="B11" s="805" t="s">
        <v>948</v>
      </c>
      <c r="C11" s="805"/>
      <c r="D11" s="805"/>
    </row>
    <row r="12" spans="2:4" hidden="1" x14ac:dyDescent="0.25">
      <c r="B12" s="805"/>
      <c r="C12" s="805"/>
      <c r="D12" s="805"/>
    </row>
    <row r="17" spans="2:4" x14ac:dyDescent="0.25">
      <c r="C17" s="56" t="s">
        <v>396</v>
      </c>
    </row>
    <row r="20" spans="2:4" ht="24.75" customHeight="1" x14ac:dyDescent="0.25"/>
    <row r="22" spans="2:4" x14ac:dyDescent="0.25">
      <c r="B22" s="806" t="s">
        <v>1222</v>
      </c>
      <c r="C22" s="806"/>
      <c r="D22" s="806"/>
    </row>
    <row r="23" spans="2:4" x14ac:dyDescent="0.25">
      <c r="B23" s="806"/>
      <c r="C23" s="806"/>
      <c r="D23" s="806"/>
    </row>
  </sheetData>
  <mergeCells count="2">
    <mergeCell ref="B11:D12"/>
    <mergeCell ref="B22:D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Q41"/>
  <sheetViews>
    <sheetView view="pageBreakPreview" zoomScaleNormal="100" zoomScaleSheetLayoutView="100" workbookViewId="0">
      <selection activeCell="K13" sqref="K13"/>
    </sheetView>
  </sheetViews>
  <sheetFormatPr defaultColWidth="8" defaultRowHeight="12.75" x14ac:dyDescent="0.2"/>
  <cols>
    <col min="1" max="1" width="3.42578125" style="179" customWidth="1"/>
    <col min="2" max="2" width="32.7109375" style="179" customWidth="1"/>
    <col min="3" max="3" width="16.28515625" style="179" bestFit="1" customWidth="1"/>
    <col min="4" max="4" width="16.42578125" style="179" bestFit="1" customWidth="1"/>
    <col min="5" max="7" width="14.140625" style="179" bestFit="1" customWidth="1"/>
    <col min="8" max="11" width="13.42578125" style="179" customWidth="1"/>
    <col min="12" max="12" width="14.140625" style="179" bestFit="1" customWidth="1"/>
    <col min="13" max="13" width="16.5703125" style="179" bestFit="1" customWidth="1"/>
    <col min="14" max="14" width="12.140625" style="179" bestFit="1" customWidth="1"/>
    <col min="15" max="15" width="14.7109375" style="179" bestFit="1" customWidth="1"/>
    <col min="16" max="16" width="13.7109375" style="179" bestFit="1" customWidth="1"/>
    <col min="17" max="17" width="13.42578125" style="179" bestFit="1" customWidth="1"/>
    <col min="18" max="16384" width="8" style="179"/>
  </cols>
  <sheetData>
    <row r="1" spans="1:17" ht="15" x14ac:dyDescent="0.25">
      <c r="C1" s="180"/>
    </row>
    <row r="2" spans="1:17" ht="15" x14ac:dyDescent="0.25">
      <c r="C2" s="180"/>
    </row>
    <row r="3" spans="1:17" ht="24.75" customHeight="1" x14ac:dyDescent="0.2">
      <c r="A3" s="980" t="s">
        <v>958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181"/>
      <c r="N3" s="182"/>
    </row>
    <row r="4" spans="1:17" ht="18" customHeight="1" x14ac:dyDescent="0.2">
      <c r="A4" s="182"/>
      <c r="B4" s="182"/>
      <c r="C4" s="182"/>
      <c r="J4" s="981" t="s">
        <v>683</v>
      </c>
      <c r="K4" s="981"/>
      <c r="L4" s="981"/>
      <c r="M4" s="317"/>
      <c r="N4" s="317"/>
    </row>
    <row r="5" spans="1:17" s="183" customFormat="1" ht="71.25" customHeight="1" x14ac:dyDescent="0.2">
      <c r="A5" s="318" t="s">
        <v>62</v>
      </c>
      <c r="B5" s="319" t="s">
        <v>2</v>
      </c>
      <c r="C5" s="320" t="s">
        <v>278</v>
      </c>
      <c r="D5" s="321" t="s">
        <v>11</v>
      </c>
      <c r="E5" s="321" t="s">
        <v>12</v>
      </c>
      <c r="F5" s="321" t="s">
        <v>13</v>
      </c>
      <c r="G5" s="321" t="s">
        <v>14</v>
      </c>
      <c r="H5" s="321" t="s">
        <v>566</v>
      </c>
      <c r="I5" s="321" t="s">
        <v>565</v>
      </c>
      <c r="J5" s="321" t="s">
        <v>38</v>
      </c>
      <c r="K5" s="321" t="s">
        <v>567</v>
      </c>
      <c r="L5" s="321" t="s">
        <v>15</v>
      </c>
      <c r="N5" s="322"/>
    </row>
    <row r="6" spans="1:17" ht="51" customHeight="1" x14ac:dyDescent="0.2">
      <c r="A6" s="544" t="s">
        <v>3</v>
      </c>
      <c r="B6" s="323" t="s">
        <v>888</v>
      </c>
      <c r="C6" s="324">
        <f t="shared" ref="C6:L6" si="0">SUM(C7:C8)</f>
        <v>3598969017</v>
      </c>
      <c r="D6" s="324">
        <f t="shared" si="0"/>
        <v>38558215</v>
      </c>
      <c r="E6" s="324">
        <f t="shared" si="0"/>
        <v>19736684</v>
      </c>
      <c r="F6" s="324">
        <f t="shared" si="0"/>
        <v>78820686</v>
      </c>
      <c r="G6" s="324">
        <f t="shared" si="0"/>
        <v>6289643</v>
      </c>
      <c r="H6" s="324">
        <f t="shared" si="0"/>
        <v>6664200</v>
      </c>
      <c r="I6" s="324">
        <f t="shared" si="0"/>
        <v>14949282</v>
      </c>
      <c r="J6" s="324">
        <f t="shared" si="0"/>
        <v>3437187</v>
      </c>
      <c r="K6" s="324">
        <f t="shared" si="0"/>
        <v>5646128</v>
      </c>
      <c r="L6" s="324">
        <f t="shared" si="0"/>
        <v>11546767</v>
      </c>
      <c r="M6" s="184">
        <f>SUM(C6:L6)</f>
        <v>3784617809</v>
      </c>
      <c r="N6" s="325"/>
      <c r="O6" s="185"/>
    </row>
    <row r="7" spans="1:17" ht="40.5" customHeight="1" x14ac:dyDescent="0.2">
      <c r="A7" s="544" t="s">
        <v>4</v>
      </c>
      <c r="B7" s="329" t="s">
        <v>684</v>
      </c>
      <c r="C7" s="203">
        <v>3598969017</v>
      </c>
      <c r="D7" s="203">
        <v>38558215</v>
      </c>
      <c r="E7" s="203">
        <v>19736684</v>
      </c>
      <c r="F7" s="203">
        <v>78820686</v>
      </c>
      <c r="G7" s="203">
        <v>6289643</v>
      </c>
      <c r="H7" s="203">
        <v>6664200</v>
      </c>
      <c r="I7" s="203">
        <v>14949282</v>
      </c>
      <c r="J7" s="203">
        <v>3437187</v>
      </c>
      <c r="K7" s="203">
        <v>5646128</v>
      </c>
      <c r="L7" s="203">
        <v>11546767</v>
      </c>
      <c r="M7" s="184"/>
      <c r="N7" s="188"/>
      <c r="O7" s="185"/>
    </row>
    <row r="8" spans="1:17" ht="39" customHeight="1" x14ac:dyDescent="0.2">
      <c r="A8" s="189" t="s">
        <v>5</v>
      </c>
      <c r="B8" s="190" t="s">
        <v>777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184">
        <f>SUM(C8:L8)</f>
        <v>0</v>
      </c>
      <c r="N8" s="188"/>
      <c r="O8" s="185"/>
    </row>
    <row r="9" spans="1:17" ht="33.75" customHeight="1" x14ac:dyDescent="0.2">
      <c r="A9" s="191" t="s">
        <v>6</v>
      </c>
      <c r="B9" s="326" t="s">
        <v>279</v>
      </c>
      <c r="C9" s="192">
        <v>40755562115</v>
      </c>
      <c r="D9" s="193">
        <v>909141332</v>
      </c>
      <c r="E9" s="193">
        <v>410183554</v>
      </c>
      <c r="F9" s="193">
        <v>1050611393</v>
      </c>
      <c r="G9" s="193">
        <v>484190643</v>
      </c>
      <c r="H9" s="193">
        <v>87937386</v>
      </c>
      <c r="I9" s="193">
        <v>143881404</v>
      </c>
      <c r="J9" s="193">
        <v>88732057</v>
      </c>
      <c r="K9" s="194">
        <v>300344492</v>
      </c>
      <c r="L9" s="195">
        <v>347431140</v>
      </c>
      <c r="M9" s="184">
        <f t="shared" ref="M9:M16" si="1">SUM(C9:L9)</f>
        <v>44578015516</v>
      </c>
      <c r="N9" s="196"/>
      <c r="O9" s="185">
        <f>+N9-M9</f>
        <v>-44578015516</v>
      </c>
      <c r="P9" s="185">
        <f>+O9/9</f>
        <v>-4953112835.1111107</v>
      </c>
      <c r="Q9" s="185"/>
    </row>
    <row r="10" spans="1:17" ht="33.75" customHeight="1" x14ac:dyDescent="0.2">
      <c r="A10" s="544" t="s">
        <v>7</v>
      </c>
      <c r="B10" s="327" t="s">
        <v>598</v>
      </c>
      <c r="C10" s="186">
        <v>-36851277129</v>
      </c>
      <c r="D10" s="187">
        <v>-870303476</v>
      </c>
      <c r="E10" s="187">
        <v>-397550806</v>
      </c>
      <c r="F10" s="187">
        <v>-966502833</v>
      </c>
      <c r="G10" s="187">
        <v>-475056109</v>
      </c>
      <c r="H10" s="187">
        <v>-82762591</v>
      </c>
      <c r="I10" s="187">
        <v>-134851429</v>
      </c>
      <c r="J10" s="187">
        <v>-83705208</v>
      </c>
      <c r="K10" s="197">
        <v>-289435661</v>
      </c>
      <c r="L10" s="198">
        <v>-331133682</v>
      </c>
      <c r="M10" s="184">
        <f t="shared" si="1"/>
        <v>-40482578924</v>
      </c>
      <c r="N10" s="196"/>
      <c r="O10" s="185"/>
      <c r="P10" s="185"/>
      <c r="Q10" s="185"/>
    </row>
    <row r="11" spans="1:17" ht="41.25" customHeight="1" x14ac:dyDescent="0.2">
      <c r="A11" s="544" t="s">
        <v>8</v>
      </c>
      <c r="B11" s="545" t="s">
        <v>889</v>
      </c>
      <c r="C11" s="546">
        <v>-3604217267</v>
      </c>
      <c r="D11" s="547">
        <v>-38674881</v>
      </c>
      <c r="E11" s="547">
        <v>-19699892</v>
      </c>
      <c r="F11" s="547">
        <v>-78798696</v>
      </c>
      <c r="G11" s="547">
        <v>-6289643</v>
      </c>
      <c r="H11" s="547">
        <v>-6664288</v>
      </c>
      <c r="I11" s="547">
        <v>-14949282</v>
      </c>
      <c r="J11" s="547">
        <v>-3437187</v>
      </c>
      <c r="K11" s="548">
        <v>-5646128</v>
      </c>
      <c r="L11" s="548">
        <v>-11546767</v>
      </c>
      <c r="M11" s="184"/>
      <c r="N11" s="196"/>
      <c r="O11" s="185"/>
      <c r="P11" s="185"/>
      <c r="Q11" s="185"/>
    </row>
    <row r="12" spans="1:17" ht="58.5" customHeight="1" x14ac:dyDescent="0.2">
      <c r="A12" s="544" t="s">
        <v>9</v>
      </c>
      <c r="B12" s="328" t="s">
        <v>890</v>
      </c>
      <c r="C12" s="199">
        <v>-46026350</v>
      </c>
      <c r="D12" s="199">
        <f>-(-390188+8128171+2185606)</f>
        <v>-9923589</v>
      </c>
      <c r="E12" s="199">
        <v>-67370</v>
      </c>
      <c r="F12" s="199">
        <v>98616</v>
      </c>
      <c r="G12" s="199">
        <v>-284497</v>
      </c>
      <c r="H12" s="199">
        <v>88</v>
      </c>
      <c r="I12" s="199">
        <v>-159600</v>
      </c>
      <c r="J12" s="199"/>
      <c r="K12" s="199">
        <v>102750</v>
      </c>
      <c r="L12" s="199">
        <v>67945</v>
      </c>
      <c r="M12" s="184">
        <f t="shared" si="1"/>
        <v>-56192007</v>
      </c>
      <c r="N12" s="196"/>
      <c r="O12" s="185"/>
    </row>
    <row r="13" spans="1:17" ht="51" customHeight="1" x14ac:dyDescent="0.2">
      <c r="A13" s="544" t="s">
        <v>23</v>
      </c>
      <c r="B13" s="200" t="s">
        <v>891</v>
      </c>
      <c r="C13" s="201">
        <f>+C14+C15</f>
        <v>3853010386</v>
      </c>
      <c r="D13" s="201">
        <f>+D14+D15</f>
        <v>28797601</v>
      </c>
      <c r="E13" s="201">
        <f t="shared" ref="E13:L13" si="2">+E14+E15</f>
        <v>12602170</v>
      </c>
      <c r="F13" s="201">
        <f t="shared" si="2"/>
        <v>84229166</v>
      </c>
      <c r="G13" s="201">
        <f t="shared" si="2"/>
        <v>8850037</v>
      </c>
      <c r="H13" s="201">
        <f t="shared" si="2"/>
        <v>5174795</v>
      </c>
      <c r="I13" s="201">
        <f t="shared" si="2"/>
        <v>8870375</v>
      </c>
      <c r="J13" s="201">
        <f t="shared" si="2"/>
        <v>5026849</v>
      </c>
      <c r="K13" s="201">
        <f t="shared" si="2"/>
        <v>11011581</v>
      </c>
      <c r="L13" s="201">
        <f t="shared" si="2"/>
        <v>16365403</v>
      </c>
      <c r="M13" s="184">
        <f>SUM(C13:L13)</f>
        <v>4033938363</v>
      </c>
      <c r="N13" s="202"/>
      <c r="O13" s="185"/>
    </row>
    <row r="14" spans="1:17" ht="43.5" customHeight="1" x14ac:dyDescent="0.2">
      <c r="A14" s="544" t="s">
        <v>25</v>
      </c>
      <c r="B14" s="204" t="s">
        <v>684</v>
      </c>
      <c r="C14" s="205">
        <v>3853010386</v>
      </c>
      <c r="D14" s="205">
        <v>28797601</v>
      </c>
      <c r="E14" s="205">
        <v>12602170</v>
      </c>
      <c r="F14" s="205">
        <v>84229166</v>
      </c>
      <c r="G14" s="205">
        <v>8850037</v>
      </c>
      <c r="H14" s="205">
        <v>5174795</v>
      </c>
      <c r="I14" s="205">
        <v>8870375</v>
      </c>
      <c r="J14" s="205">
        <v>5026849</v>
      </c>
      <c r="K14" s="205">
        <v>11011581</v>
      </c>
      <c r="L14" s="205">
        <v>16365403</v>
      </c>
      <c r="M14" s="184">
        <f>SUM(C7:L7)</f>
        <v>3784617809</v>
      </c>
      <c r="N14" s="196"/>
      <c r="O14" s="185"/>
    </row>
    <row r="15" spans="1:17" ht="43.5" customHeight="1" x14ac:dyDescent="0.2">
      <c r="A15" s="544" t="s">
        <v>27</v>
      </c>
      <c r="B15" s="204" t="s">
        <v>685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184">
        <f>SUM(C15:L15)</f>
        <v>0</v>
      </c>
      <c r="N15" s="196"/>
      <c r="O15" s="185"/>
    </row>
    <row r="16" spans="1:17" ht="19.5" customHeight="1" x14ac:dyDescent="0.2">
      <c r="A16" s="982" t="s">
        <v>778</v>
      </c>
      <c r="B16" s="982"/>
      <c r="C16" s="206">
        <v>1121865</v>
      </c>
      <c r="D16" s="207"/>
      <c r="E16" s="207"/>
      <c r="F16" s="207"/>
      <c r="G16" s="207"/>
      <c r="H16" s="207"/>
      <c r="I16" s="207"/>
      <c r="J16" s="207"/>
      <c r="K16" s="207"/>
      <c r="L16" s="207"/>
      <c r="M16" s="184">
        <f t="shared" si="1"/>
        <v>1121865</v>
      </c>
    </row>
    <row r="17" spans="3:14" x14ac:dyDescent="0.2">
      <c r="C17" s="184"/>
    </row>
    <row r="18" spans="3:14" x14ac:dyDescent="0.2">
      <c r="C18" s="330"/>
      <c r="D18" s="330"/>
      <c r="E18" s="330"/>
      <c r="F18" s="330"/>
      <c r="G18" s="330"/>
      <c r="H18" s="330"/>
      <c r="I18" s="330"/>
      <c r="J18" s="330"/>
      <c r="K18" s="330"/>
      <c r="L18" s="330"/>
    </row>
    <row r="19" spans="3:14" x14ac:dyDescent="0.2">
      <c r="C19" s="208">
        <f>+C6+C9+C10+C12+C11</f>
        <v>3853010386</v>
      </c>
      <c r="D19" s="208">
        <f>+D6+D9+D10+D12+D11</f>
        <v>28797601</v>
      </c>
      <c r="E19" s="208">
        <f t="shared" ref="E19:L19" si="3">+E6+E9+E10+E12+E11</f>
        <v>12602170</v>
      </c>
      <c r="F19" s="208">
        <f t="shared" si="3"/>
        <v>84229166</v>
      </c>
      <c r="G19" s="208">
        <f t="shared" si="3"/>
        <v>8850037</v>
      </c>
      <c r="H19" s="208">
        <f t="shared" si="3"/>
        <v>5174795</v>
      </c>
      <c r="I19" s="208">
        <f t="shared" si="3"/>
        <v>8870375</v>
      </c>
      <c r="J19" s="208">
        <f t="shared" si="3"/>
        <v>5026849</v>
      </c>
      <c r="K19" s="208">
        <f t="shared" si="3"/>
        <v>11011581</v>
      </c>
      <c r="L19" s="208">
        <f t="shared" si="3"/>
        <v>16365403</v>
      </c>
      <c r="M19" s="208"/>
      <c r="N19" s="208"/>
    </row>
    <row r="20" spans="3:14" ht="7.5" customHeight="1" x14ac:dyDescent="0.2"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3:14" x14ac:dyDescent="0.2">
      <c r="C21" s="208">
        <f>+C13-C19</f>
        <v>0</v>
      </c>
      <c r="D21" s="208">
        <f>+D13-D19</f>
        <v>0</v>
      </c>
      <c r="E21" s="208">
        <f t="shared" ref="E21:L21" si="4">+E13-E19</f>
        <v>0</v>
      </c>
      <c r="F21" s="208">
        <f t="shared" si="4"/>
        <v>0</v>
      </c>
      <c r="G21" s="208">
        <f t="shared" si="4"/>
        <v>0</v>
      </c>
      <c r="H21" s="208">
        <f t="shared" si="4"/>
        <v>0</v>
      </c>
      <c r="I21" s="208">
        <f t="shared" si="4"/>
        <v>0</v>
      </c>
      <c r="J21" s="208">
        <f t="shared" si="4"/>
        <v>0</v>
      </c>
      <c r="K21" s="208">
        <f t="shared" si="4"/>
        <v>0</v>
      </c>
      <c r="L21" s="208">
        <f t="shared" si="4"/>
        <v>0</v>
      </c>
      <c r="M21" s="208"/>
      <c r="N21" s="208"/>
    </row>
    <row r="22" spans="3:14" x14ac:dyDescent="0.2"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3:14" x14ac:dyDescent="0.2"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5" spans="3:14" x14ac:dyDescent="0.2"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3:14" x14ac:dyDescent="0.2"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</row>
    <row r="27" spans="3:14" x14ac:dyDescent="0.2"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3:14" x14ac:dyDescent="0.2">
      <c r="C28" s="211"/>
    </row>
    <row r="30" spans="3:14" x14ac:dyDescent="0.2">
      <c r="C30" s="184"/>
    </row>
    <row r="32" spans="3:14" x14ac:dyDescent="0.2"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3:12" x14ac:dyDescent="0.2"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3:12" x14ac:dyDescent="0.2"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  <row r="35" spans="3:12" x14ac:dyDescent="0.2"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3:12" x14ac:dyDescent="0.2"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8" spans="3:12" x14ac:dyDescent="0.2">
      <c r="C38" s="184"/>
    </row>
    <row r="40" spans="3:12" x14ac:dyDescent="0.2"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3:12" x14ac:dyDescent="0.2"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3">
    <mergeCell ref="A3:L3"/>
    <mergeCell ref="J4:L4"/>
    <mergeCell ref="A16:B1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&amp;CDunaharaszti Város Önkormányzata
2022. zárszámadás&amp;R&amp;A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E91"/>
  <sheetViews>
    <sheetView topLeftCell="A70" zoomScaleNormal="100" zoomScaleSheetLayoutView="80" workbookViewId="0">
      <selection activeCell="E86" sqref="E86"/>
    </sheetView>
  </sheetViews>
  <sheetFormatPr defaultRowHeight="12.75" x14ac:dyDescent="0.2"/>
  <cols>
    <col min="1" max="1" width="8.140625" style="221" customWidth="1"/>
    <col min="2" max="2" width="41" style="221" customWidth="1"/>
    <col min="3" max="3" width="25.28515625" style="221" customWidth="1"/>
    <col min="4" max="4" width="24.28515625" style="221" customWidth="1"/>
    <col min="5" max="5" width="29.7109375" style="221" customWidth="1"/>
    <col min="6" max="16384" width="9.140625" style="221"/>
  </cols>
  <sheetData>
    <row r="1" spans="1:5" ht="60.75" customHeight="1" x14ac:dyDescent="0.2">
      <c r="A1" s="983" t="s">
        <v>81</v>
      </c>
      <c r="B1" s="984"/>
      <c r="C1" s="984"/>
      <c r="D1" s="984"/>
      <c r="E1" s="985"/>
    </row>
    <row r="2" spans="1:5" s="512" customFormat="1" ht="24" x14ac:dyDescent="0.25">
      <c r="A2" s="542" t="s">
        <v>62</v>
      </c>
      <c r="B2" s="543" t="s">
        <v>2</v>
      </c>
      <c r="C2" s="543" t="s">
        <v>82</v>
      </c>
      <c r="D2" s="543" t="s">
        <v>83</v>
      </c>
      <c r="E2" s="543" t="s">
        <v>84</v>
      </c>
    </row>
    <row r="3" spans="1:5" x14ac:dyDescent="0.2">
      <c r="A3" s="659" t="s">
        <v>85</v>
      </c>
      <c r="B3" s="660" t="s">
        <v>86</v>
      </c>
      <c r="C3" s="683">
        <v>5738145</v>
      </c>
      <c r="D3" s="683">
        <v>0</v>
      </c>
      <c r="E3" s="684">
        <v>3457798</v>
      </c>
    </row>
    <row r="4" spans="1:5" x14ac:dyDescent="0.2">
      <c r="A4" s="661" t="s">
        <v>87</v>
      </c>
      <c r="B4" s="662" t="s">
        <v>88</v>
      </c>
      <c r="C4" s="685">
        <v>6681373</v>
      </c>
      <c r="D4" s="685">
        <v>0</v>
      </c>
      <c r="E4" s="686">
        <v>3737048</v>
      </c>
    </row>
    <row r="5" spans="1:5" x14ac:dyDescent="0.2">
      <c r="A5" s="663" t="s">
        <v>90</v>
      </c>
      <c r="B5" s="664" t="s">
        <v>91</v>
      </c>
      <c r="C5" s="687">
        <v>12419518</v>
      </c>
      <c r="D5" s="687">
        <v>0</v>
      </c>
      <c r="E5" s="688">
        <v>7194846</v>
      </c>
    </row>
    <row r="6" spans="1:5" ht="25.5" x14ac:dyDescent="0.2">
      <c r="A6" s="661" t="s">
        <v>92</v>
      </c>
      <c r="B6" s="662" t="s">
        <v>93</v>
      </c>
      <c r="C6" s="685">
        <v>21937990708</v>
      </c>
      <c r="D6" s="685">
        <v>0</v>
      </c>
      <c r="E6" s="686">
        <v>22688589781</v>
      </c>
    </row>
    <row r="7" spans="1:5" ht="25.5" x14ac:dyDescent="0.2">
      <c r="A7" s="661" t="s">
        <v>94</v>
      </c>
      <c r="B7" s="662" t="s">
        <v>95</v>
      </c>
      <c r="C7" s="685">
        <v>362559066</v>
      </c>
      <c r="D7" s="685">
        <v>0</v>
      </c>
      <c r="E7" s="686">
        <v>313109019</v>
      </c>
    </row>
    <row r="8" spans="1:5" x14ac:dyDescent="0.2">
      <c r="A8" s="661" t="s">
        <v>96</v>
      </c>
      <c r="B8" s="662" t="s">
        <v>97</v>
      </c>
      <c r="C8" s="685">
        <v>599762111</v>
      </c>
      <c r="D8" s="685">
        <v>0</v>
      </c>
      <c r="E8" s="686">
        <v>372917337</v>
      </c>
    </row>
    <row r="9" spans="1:5" x14ac:dyDescent="0.2">
      <c r="A9" s="661" t="s">
        <v>98</v>
      </c>
      <c r="B9" s="662" t="s">
        <v>99</v>
      </c>
      <c r="C9" s="685">
        <v>584522737</v>
      </c>
      <c r="D9" s="685">
        <v>0</v>
      </c>
      <c r="E9" s="686">
        <v>584522737</v>
      </c>
    </row>
    <row r="10" spans="1:5" x14ac:dyDescent="0.2">
      <c r="A10" s="663" t="s">
        <v>100</v>
      </c>
      <c r="B10" s="664" t="s">
        <v>101</v>
      </c>
      <c r="C10" s="687">
        <v>23484834622</v>
      </c>
      <c r="D10" s="687">
        <v>0</v>
      </c>
      <c r="E10" s="688">
        <v>23959138874</v>
      </c>
    </row>
    <row r="11" spans="1:5" x14ac:dyDescent="0.2">
      <c r="A11" s="661" t="s">
        <v>102</v>
      </c>
      <c r="B11" s="662" t="s">
        <v>871</v>
      </c>
      <c r="C11" s="685">
        <v>432300000</v>
      </c>
      <c r="D11" s="685">
        <v>0</v>
      </c>
      <c r="E11" s="686">
        <v>404760000</v>
      </c>
    </row>
    <row r="12" spans="1:5" ht="25.5" x14ac:dyDescent="0.2">
      <c r="A12" s="661" t="s">
        <v>104</v>
      </c>
      <c r="B12" s="662" t="s">
        <v>105</v>
      </c>
      <c r="C12" s="685">
        <v>432300000</v>
      </c>
      <c r="D12" s="685">
        <v>0</v>
      </c>
      <c r="E12" s="686">
        <v>404760000</v>
      </c>
    </row>
    <row r="13" spans="1:5" ht="25.5" x14ac:dyDescent="0.2">
      <c r="A13" s="661" t="s">
        <v>114</v>
      </c>
      <c r="B13" s="662" t="s">
        <v>113</v>
      </c>
      <c r="C13" s="685">
        <v>13200</v>
      </c>
      <c r="D13" s="685">
        <v>0</v>
      </c>
      <c r="E13" s="686">
        <v>13200</v>
      </c>
    </row>
    <row r="14" spans="1:5" ht="25.5" x14ac:dyDescent="0.2">
      <c r="A14" s="663" t="s">
        <v>116</v>
      </c>
      <c r="B14" s="664" t="s">
        <v>115</v>
      </c>
      <c r="C14" s="687">
        <v>432313200</v>
      </c>
      <c r="D14" s="687">
        <v>0</v>
      </c>
      <c r="E14" s="688">
        <v>404773200</v>
      </c>
    </row>
    <row r="15" spans="1:5" ht="25.5" x14ac:dyDescent="0.2">
      <c r="A15" s="661" t="s">
        <v>118</v>
      </c>
      <c r="B15" s="662" t="s">
        <v>117</v>
      </c>
      <c r="C15" s="685">
        <v>363225482</v>
      </c>
      <c r="D15" s="685">
        <v>0</v>
      </c>
      <c r="E15" s="686">
        <v>359098724</v>
      </c>
    </row>
    <row r="16" spans="1:5" x14ac:dyDescent="0.2">
      <c r="A16" s="661" t="s">
        <v>872</v>
      </c>
      <c r="B16" s="662" t="s">
        <v>120</v>
      </c>
      <c r="C16" s="685">
        <v>363225482</v>
      </c>
      <c r="D16" s="685">
        <v>0</v>
      </c>
      <c r="E16" s="686">
        <v>359098724</v>
      </c>
    </row>
    <row r="17" spans="1:5" ht="25.5" x14ac:dyDescent="0.2">
      <c r="A17" s="663" t="s">
        <v>122</v>
      </c>
      <c r="B17" s="664" t="s">
        <v>121</v>
      </c>
      <c r="C17" s="687">
        <v>363225482</v>
      </c>
      <c r="D17" s="687">
        <v>0</v>
      </c>
      <c r="E17" s="688">
        <v>359098724</v>
      </c>
    </row>
    <row r="18" spans="1:5" ht="25.5" x14ac:dyDescent="0.2">
      <c r="A18" s="663" t="s">
        <v>124</v>
      </c>
      <c r="B18" s="664" t="s">
        <v>123</v>
      </c>
      <c r="C18" s="687">
        <v>24292792822</v>
      </c>
      <c r="D18" s="687">
        <v>0</v>
      </c>
      <c r="E18" s="688">
        <v>24730205644</v>
      </c>
    </row>
    <row r="19" spans="1:5" x14ac:dyDescent="0.2">
      <c r="A19" s="661" t="s">
        <v>873</v>
      </c>
      <c r="B19" s="662" t="s">
        <v>125</v>
      </c>
      <c r="C19" s="685">
        <v>4613830</v>
      </c>
      <c r="D19" s="685">
        <v>0</v>
      </c>
      <c r="E19" s="686">
        <v>5658861</v>
      </c>
    </row>
    <row r="20" spans="1:5" x14ac:dyDescent="0.2">
      <c r="A20" s="663" t="s">
        <v>128</v>
      </c>
      <c r="B20" s="664" t="s">
        <v>127</v>
      </c>
      <c r="C20" s="687">
        <v>4613830</v>
      </c>
      <c r="D20" s="687">
        <v>0</v>
      </c>
      <c r="E20" s="688">
        <v>5658861</v>
      </c>
    </row>
    <row r="21" spans="1:5" ht="25.5" x14ac:dyDescent="0.2">
      <c r="A21" s="663" t="s">
        <v>959</v>
      </c>
      <c r="B21" s="664" t="s">
        <v>132</v>
      </c>
      <c r="C21" s="687">
        <v>4613830</v>
      </c>
      <c r="D21" s="687">
        <v>0</v>
      </c>
      <c r="E21" s="688">
        <v>5658861</v>
      </c>
    </row>
    <row r="22" spans="1:5" x14ac:dyDescent="0.2">
      <c r="A22" s="661" t="s">
        <v>960</v>
      </c>
      <c r="B22" s="662" t="s">
        <v>134</v>
      </c>
      <c r="C22" s="685">
        <v>3784309485</v>
      </c>
      <c r="D22" s="685">
        <v>0</v>
      </c>
      <c r="E22" s="686">
        <v>3998653877</v>
      </c>
    </row>
    <row r="23" spans="1:5" x14ac:dyDescent="0.2">
      <c r="A23" s="661" t="s">
        <v>874</v>
      </c>
      <c r="B23" s="662" t="s">
        <v>135</v>
      </c>
      <c r="C23" s="685">
        <v>308324</v>
      </c>
      <c r="D23" s="685">
        <v>0</v>
      </c>
      <c r="E23" s="686">
        <v>35284486</v>
      </c>
    </row>
    <row r="24" spans="1:5" x14ac:dyDescent="0.2">
      <c r="A24" s="663" t="s">
        <v>875</v>
      </c>
      <c r="B24" s="664" t="s">
        <v>136</v>
      </c>
      <c r="C24" s="687">
        <v>3784617809</v>
      </c>
      <c r="D24" s="687">
        <v>0</v>
      </c>
      <c r="E24" s="688">
        <v>4033938363</v>
      </c>
    </row>
    <row r="25" spans="1:5" x14ac:dyDescent="0.2">
      <c r="A25" s="663" t="s">
        <v>961</v>
      </c>
      <c r="B25" s="664" t="s">
        <v>137</v>
      </c>
      <c r="C25" s="687">
        <v>3784617809</v>
      </c>
      <c r="D25" s="687">
        <v>0</v>
      </c>
      <c r="E25" s="688">
        <v>4033938363</v>
      </c>
    </row>
    <row r="26" spans="1:5" ht="25.5" x14ac:dyDescent="0.2">
      <c r="A26" s="661" t="s">
        <v>962</v>
      </c>
      <c r="B26" s="662" t="s">
        <v>138</v>
      </c>
      <c r="C26" s="685">
        <v>46979111</v>
      </c>
      <c r="D26" s="685">
        <v>0</v>
      </c>
      <c r="E26" s="686">
        <v>55337756</v>
      </c>
    </row>
    <row r="27" spans="1:5" ht="25.5" x14ac:dyDescent="0.2">
      <c r="A27" s="661" t="s">
        <v>963</v>
      </c>
      <c r="B27" s="662" t="s">
        <v>139</v>
      </c>
      <c r="C27" s="685">
        <v>13889158</v>
      </c>
      <c r="D27" s="685">
        <v>0</v>
      </c>
      <c r="E27" s="686">
        <v>23230602</v>
      </c>
    </row>
    <row r="28" spans="1:5" ht="25.5" x14ac:dyDescent="0.2">
      <c r="A28" s="661" t="s">
        <v>142</v>
      </c>
      <c r="B28" s="662" t="s">
        <v>140</v>
      </c>
      <c r="C28" s="685">
        <v>29661178</v>
      </c>
      <c r="D28" s="685">
        <v>0</v>
      </c>
      <c r="E28" s="686">
        <v>23963067</v>
      </c>
    </row>
    <row r="29" spans="1:5" ht="25.5" x14ac:dyDescent="0.2">
      <c r="A29" s="661" t="s">
        <v>144</v>
      </c>
      <c r="B29" s="662" t="s">
        <v>141</v>
      </c>
      <c r="C29" s="685">
        <v>3428775</v>
      </c>
      <c r="D29" s="685">
        <v>0</v>
      </c>
      <c r="E29" s="686">
        <v>8144087</v>
      </c>
    </row>
    <row r="30" spans="1:5" ht="25.5" x14ac:dyDescent="0.2">
      <c r="A30" s="661" t="s">
        <v>146</v>
      </c>
      <c r="B30" s="662" t="s">
        <v>143</v>
      </c>
      <c r="C30" s="685">
        <v>122463761</v>
      </c>
      <c r="D30" s="685">
        <v>0</v>
      </c>
      <c r="E30" s="686">
        <v>51189919</v>
      </c>
    </row>
    <row r="31" spans="1:5" ht="51" x14ac:dyDescent="0.2">
      <c r="A31" s="661" t="s">
        <v>148</v>
      </c>
      <c r="B31" s="662" t="s">
        <v>145</v>
      </c>
      <c r="C31" s="685">
        <v>639611</v>
      </c>
      <c r="D31" s="685">
        <v>0</v>
      </c>
      <c r="E31" s="686">
        <v>2944038</v>
      </c>
    </row>
    <row r="32" spans="1:5" ht="25.5" x14ac:dyDescent="0.2">
      <c r="A32" s="661" t="s">
        <v>150</v>
      </c>
      <c r="B32" s="662" t="s">
        <v>147</v>
      </c>
      <c r="C32" s="685">
        <v>71730648</v>
      </c>
      <c r="D32" s="685">
        <v>0</v>
      </c>
      <c r="E32" s="686">
        <v>11858050</v>
      </c>
    </row>
    <row r="33" spans="1:5" ht="25.5" x14ac:dyDescent="0.2">
      <c r="A33" s="661" t="s">
        <v>876</v>
      </c>
      <c r="B33" s="662" t="s">
        <v>149</v>
      </c>
      <c r="C33" s="685">
        <v>25735652</v>
      </c>
      <c r="D33" s="685">
        <v>0</v>
      </c>
      <c r="E33" s="686">
        <v>28330822</v>
      </c>
    </row>
    <row r="34" spans="1:5" ht="38.25" x14ac:dyDescent="0.2">
      <c r="A34" s="661" t="s">
        <v>877</v>
      </c>
      <c r="B34" s="662" t="s">
        <v>151</v>
      </c>
      <c r="C34" s="685">
        <v>24220662</v>
      </c>
      <c r="D34" s="685">
        <v>0</v>
      </c>
      <c r="E34" s="686">
        <v>7953429</v>
      </c>
    </row>
    <row r="35" spans="1:5" ht="25.5" x14ac:dyDescent="0.2">
      <c r="A35" s="661" t="s">
        <v>964</v>
      </c>
      <c r="B35" s="662" t="s">
        <v>152</v>
      </c>
      <c r="C35" s="685">
        <v>137188</v>
      </c>
      <c r="D35" s="685">
        <v>0</v>
      </c>
      <c r="E35" s="686">
        <v>103580</v>
      </c>
    </row>
    <row r="36" spans="1:5" ht="25.5" x14ac:dyDescent="0.2">
      <c r="A36" s="663" t="s">
        <v>965</v>
      </c>
      <c r="B36" s="664" t="s">
        <v>153</v>
      </c>
      <c r="C36" s="687">
        <v>169442872</v>
      </c>
      <c r="D36" s="687">
        <v>0</v>
      </c>
      <c r="E36" s="688">
        <v>106527675</v>
      </c>
    </row>
    <row r="37" spans="1:5" ht="38.25" x14ac:dyDescent="0.2">
      <c r="A37" s="661" t="s">
        <v>966</v>
      </c>
      <c r="B37" s="662" t="s">
        <v>154</v>
      </c>
      <c r="C37" s="685">
        <v>1647820093</v>
      </c>
      <c r="D37" s="685">
        <v>0</v>
      </c>
      <c r="E37" s="686">
        <v>1897905205</v>
      </c>
    </row>
    <row r="38" spans="1:5" ht="25.5" x14ac:dyDescent="0.2">
      <c r="A38" s="661" t="s">
        <v>967</v>
      </c>
      <c r="B38" s="662" t="s">
        <v>155</v>
      </c>
      <c r="C38" s="685">
        <v>15381224</v>
      </c>
      <c r="D38" s="685">
        <v>0</v>
      </c>
      <c r="E38" s="686">
        <v>7835144</v>
      </c>
    </row>
    <row r="39" spans="1:5" ht="38.25" x14ac:dyDescent="0.2">
      <c r="A39" s="661" t="s">
        <v>158</v>
      </c>
      <c r="B39" s="662" t="s">
        <v>156</v>
      </c>
      <c r="C39" s="685">
        <v>1629435718</v>
      </c>
      <c r="D39" s="685">
        <v>0</v>
      </c>
      <c r="E39" s="686">
        <v>1886105537</v>
      </c>
    </row>
    <row r="40" spans="1:5" ht="38.25" x14ac:dyDescent="0.2">
      <c r="A40" s="661" t="s">
        <v>159</v>
      </c>
      <c r="B40" s="662" t="s">
        <v>157</v>
      </c>
      <c r="C40" s="685">
        <v>3003151</v>
      </c>
      <c r="D40" s="685">
        <v>0</v>
      </c>
      <c r="E40" s="686">
        <v>3964524</v>
      </c>
    </row>
    <row r="41" spans="1:5" ht="38.25" x14ac:dyDescent="0.2">
      <c r="A41" s="661" t="s">
        <v>968</v>
      </c>
      <c r="B41" s="662" t="s">
        <v>160</v>
      </c>
      <c r="C41" s="685">
        <v>19664700</v>
      </c>
      <c r="D41" s="685">
        <v>0</v>
      </c>
      <c r="E41" s="686">
        <v>29256450</v>
      </c>
    </row>
    <row r="42" spans="1:5" ht="51" x14ac:dyDescent="0.2">
      <c r="A42" s="661" t="s">
        <v>969</v>
      </c>
      <c r="B42" s="662" t="s">
        <v>161</v>
      </c>
      <c r="C42" s="685">
        <v>19664700</v>
      </c>
      <c r="D42" s="685">
        <v>0</v>
      </c>
      <c r="E42" s="686">
        <v>29256450</v>
      </c>
    </row>
    <row r="43" spans="1:5" ht="25.5" x14ac:dyDescent="0.2">
      <c r="A43" s="663" t="s">
        <v>970</v>
      </c>
      <c r="B43" s="664" t="s">
        <v>162</v>
      </c>
      <c r="C43" s="687">
        <v>1667484793</v>
      </c>
      <c r="D43" s="687">
        <v>0</v>
      </c>
      <c r="E43" s="688">
        <v>1927161655</v>
      </c>
    </row>
    <row r="44" spans="1:5" x14ac:dyDescent="0.2">
      <c r="A44" s="661" t="s">
        <v>164</v>
      </c>
      <c r="B44" s="662" t="s">
        <v>163</v>
      </c>
      <c r="C44" s="685">
        <v>7617872</v>
      </c>
      <c r="D44" s="685">
        <v>0</v>
      </c>
      <c r="E44" s="686">
        <v>60064668</v>
      </c>
    </row>
    <row r="45" spans="1:5" ht="25.5" x14ac:dyDescent="0.2">
      <c r="A45" s="661" t="s">
        <v>971</v>
      </c>
      <c r="B45" s="662" t="s">
        <v>491</v>
      </c>
      <c r="C45" s="685">
        <v>3704450</v>
      </c>
      <c r="D45" s="685">
        <v>0</v>
      </c>
      <c r="E45" s="686">
        <v>58640171</v>
      </c>
    </row>
    <row r="46" spans="1:5" ht="25.5" x14ac:dyDescent="0.2">
      <c r="A46" s="661" t="s">
        <v>972</v>
      </c>
      <c r="B46" s="662" t="s">
        <v>973</v>
      </c>
      <c r="C46" s="685">
        <v>0</v>
      </c>
      <c r="D46" s="685">
        <v>0</v>
      </c>
      <c r="E46" s="686">
        <v>300000</v>
      </c>
    </row>
    <row r="47" spans="1:5" ht="25.5" x14ac:dyDescent="0.2">
      <c r="A47" s="661" t="s">
        <v>974</v>
      </c>
      <c r="B47" s="662" t="s">
        <v>165</v>
      </c>
      <c r="C47" s="685">
        <v>116666</v>
      </c>
      <c r="D47" s="685">
        <v>0</v>
      </c>
      <c r="E47" s="686">
        <v>150000</v>
      </c>
    </row>
    <row r="48" spans="1:5" ht="25.5" x14ac:dyDescent="0.2">
      <c r="A48" s="661" t="s">
        <v>878</v>
      </c>
      <c r="B48" s="662" t="s">
        <v>166</v>
      </c>
      <c r="C48" s="685">
        <v>3796756</v>
      </c>
      <c r="D48" s="685">
        <v>0</v>
      </c>
      <c r="E48" s="686">
        <v>974497</v>
      </c>
    </row>
    <row r="49" spans="1:5" x14ac:dyDescent="0.2">
      <c r="A49" s="661" t="s">
        <v>975</v>
      </c>
      <c r="B49" s="662" t="s">
        <v>167</v>
      </c>
      <c r="C49" s="685">
        <v>550000</v>
      </c>
      <c r="D49" s="685">
        <v>0</v>
      </c>
      <c r="E49" s="686">
        <v>550000</v>
      </c>
    </row>
    <row r="50" spans="1:5" ht="25.5" x14ac:dyDescent="0.2">
      <c r="A50" s="663" t="s">
        <v>976</v>
      </c>
      <c r="B50" s="664" t="s">
        <v>168</v>
      </c>
      <c r="C50" s="687">
        <v>8167872</v>
      </c>
      <c r="D50" s="687">
        <v>0</v>
      </c>
      <c r="E50" s="688">
        <v>60614668</v>
      </c>
    </row>
    <row r="51" spans="1:5" x14ac:dyDescent="0.2">
      <c r="A51" s="663" t="s">
        <v>170</v>
      </c>
      <c r="B51" s="664" t="s">
        <v>169</v>
      </c>
      <c r="C51" s="687">
        <v>1845095537</v>
      </c>
      <c r="D51" s="687">
        <v>0</v>
      </c>
      <c r="E51" s="688">
        <v>2094303998</v>
      </c>
    </row>
    <row r="52" spans="1:5" ht="25.5" x14ac:dyDescent="0.2">
      <c r="A52" s="661" t="s">
        <v>171</v>
      </c>
      <c r="B52" s="662" t="s">
        <v>879</v>
      </c>
      <c r="C52" s="685">
        <v>580500</v>
      </c>
      <c r="D52" s="685">
        <v>0</v>
      </c>
      <c r="E52" s="686">
        <v>0</v>
      </c>
    </row>
    <row r="53" spans="1:5" ht="25.5" x14ac:dyDescent="0.2">
      <c r="A53" s="661" t="s">
        <v>172</v>
      </c>
      <c r="B53" s="662" t="s">
        <v>492</v>
      </c>
      <c r="C53" s="685">
        <v>14496000</v>
      </c>
      <c r="D53" s="685">
        <v>0</v>
      </c>
      <c r="E53" s="686">
        <v>12741000</v>
      </c>
    </row>
    <row r="54" spans="1:5" ht="38.25" x14ac:dyDescent="0.2">
      <c r="A54" s="661" t="s">
        <v>174</v>
      </c>
      <c r="B54" s="662" t="s">
        <v>493</v>
      </c>
      <c r="C54" s="685">
        <v>419708</v>
      </c>
      <c r="D54" s="685">
        <v>0</v>
      </c>
      <c r="E54" s="686">
        <v>5849897</v>
      </c>
    </row>
    <row r="55" spans="1:5" ht="25.5" x14ac:dyDescent="0.2">
      <c r="A55" s="661" t="s">
        <v>880</v>
      </c>
      <c r="B55" s="662" t="s">
        <v>494</v>
      </c>
      <c r="C55" s="685">
        <v>-419708</v>
      </c>
      <c r="D55" s="685">
        <v>0</v>
      </c>
      <c r="E55" s="686">
        <v>-5849897</v>
      </c>
    </row>
    <row r="56" spans="1:5" ht="25.5" x14ac:dyDescent="0.2">
      <c r="A56" s="663" t="s">
        <v>176</v>
      </c>
      <c r="B56" s="664" t="s">
        <v>495</v>
      </c>
      <c r="C56" s="687">
        <v>15076500</v>
      </c>
      <c r="D56" s="687">
        <v>0</v>
      </c>
      <c r="E56" s="688">
        <v>12741000</v>
      </c>
    </row>
    <row r="57" spans="1:5" x14ac:dyDescent="0.2">
      <c r="A57" s="661" t="s">
        <v>977</v>
      </c>
      <c r="B57" s="662" t="s">
        <v>496</v>
      </c>
      <c r="C57" s="685">
        <v>-655001000</v>
      </c>
      <c r="D57" s="685">
        <v>0</v>
      </c>
      <c r="E57" s="686">
        <v>-1178000</v>
      </c>
    </row>
    <row r="58" spans="1:5" ht="25.5" x14ac:dyDescent="0.2">
      <c r="A58" s="663" t="s">
        <v>881</v>
      </c>
      <c r="B58" s="664" t="s">
        <v>497</v>
      </c>
      <c r="C58" s="687">
        <v>-655001000</v>
      </c>
      <c r="D58" s="687">
        <v>0</v>
      </c>
      <c r="E58" s="688">
        <v>-1178000</v>
      </c>
    </row>
    <row r="59" spans="1:5" ht="25.5" x14ac:dyDescent="0.2">
      <c r="A59" s="661" t="s">
        <v>882</v>
      </c>
      <c r="B59" s="662" t="s">
        <v>978</v>
      </c>
      <c r="C59" s="685">
        <v>0</v>
      </c>
      <c r="D59" s="685">
        <v>0</v>
      </c>
      <c r="E59" s="686">
        <v>197263</v>
      </c>
    </row>
    <row r="60" spans="1:5" ht="25.5" x14ac:dyDescent="0.2">
      <c r="A60" s="663" t="s">
        <v>979</v>
      </c>
      <c r="B60" s="664" t="s">
        <v>980</v>
      </c>
      <c r="C60" s="687">
        <v>0</v>
      </c>
      <c r="D60" s="687">
        <v>0</v>
      </c>
      <c r="E60" s="688">
        <v>197263</v>
      </c>
    </row>
    <row r="61" spans="1:5" x14ac:dyDescent="0.2">
      <c r="A61" s="663" t="s">
        <v>981</v>
      </c>
      <c r="B61" s="664" t="s">
        <v>498</v>
      </c>
      <c r="C61" s="687">
        <v>-639924500</v>
      </c>
      <c r="D61" s="687">
        <v>0</v>
      </c>
      <c r="E61" s="688">
        <v>11760263</v>
      </c>
    </row>
    <row r="62" spans="1:5" ht="25.5" x14ac:dyDescent="0.2">
      <c r="A62" s="661" t="s">
        <v>982</v>
      </c>
      <c r="B62" s="662" t="s">
        <v>173</v>
      </c>
      <c r="C62" s="685">
        <v>8968803</v>
      </c>
      <c r="D62" s="685">
        <v>0</v>
      </c>
      <c r="E62" s="686">
        <v>10840179</v>
      </c>
    </row>
    <row r="63" spans="1:5" ht="25.5" x14ac:dyDescent="0.2">
      <c r="A63" s="663" t="s">
        <v>983</v>
      </c>
      <c r="B63" s="664" t="s">
        <v>175</v>
      </c>
      <c r="C63" s="687">
        <v>8968803</v>
      </c>
      <c r="D63" s="687">
        <v>0</v>
      </c>
      <c r="E63" s="688">
        <v>10840179</v>
      </c>
    </row>
    <row r="64" spans="1:5" x14ac:dyDescent="0.2">
      <c r="A64" s="663" t="s">
        <v>186</v>
      </c>
      <c r="B64" s="664" t="s">
        <v>177</v>
      </c>
      <c r="C64" s="687">
        <v>29296164301</v>
      </c>
      <c r="D64" s="687">
        <v>0</v>
      </c>
      <c r="E64" s="688">
        <v>30886707308</v>
      </c>
    </row>
    <row r="65" spans="1:5" x14ac:dyDescent="0.2">
      <c r="A65" s="661" t="s">
        <v>187</v>
      </c>
      <c r="B65" s="662" t="s">
        <v>178</v>
      </c>
      <c r="C65" s="685">
        <v>24191884537</v>
      </c>
      <c r="D65" s="685">
        <v>0</v>
      </c>
      <c r="E65" s="686">
        <v>24191884537</v>
      </c>
    </row>
    <row r="66" spans="1:5" x14ac:dyDescent="0.2">
      <c r="A66" s="661" t="s">
        <v>188</v>
      </c>
      <c r="B66" s="662" t="s">
        <v>179</v>
      </c>
      <c r="C66" s="685">
        <v>-1113990524</v>
      </c>
      <c r="D66" s="685">
        <v>0</v>
      </c>
      <c r="E66" s="686">
        <v>-1114430294</v>
      </c>
    </row>
    <row r="67" spans="1:5" ht="25.5" x14ac:dyDescent="0.2">
      <c r="A67" s="661" t="s">
        <v>189</v>
      </c>
      <c r="B67" s="662" t="s">
        <v>599</v>
      </c>
      <c r="C67" s="685">
        <v>458684030</v>
      </c>
      <c r="D67" s="685">
        <v>0</v>
      </c>
      <c r="E67" s="686">
        <v>458684030</v>
      </c>
    </row>
    <row r="68" spans="1:5" x14ac:dyDescent="0.2">
      <c r="A68" s="661" t="s">
        <v>191</v>
      </c>
      <c r="B68" s="662" t="s">
        <v>180</v>
      </c>
      <c r="C68" s="685">
        <v>-1530438311</v>
      </c>
      <c r="D68" s="685">
        <v>0</v>
      </c>
      <c r="E68" s="686">
        <v>-831283767</v>
      </c>
    </row>
    <row r="69" spans="1:5" x14ac:dyDescent="0.2">
      <c r="A69" s="661" t="s">
        <v>193</v>
      </c>
      <c r="B69" s="662" t="s">
        <v>181</v>
      </c>
      <c r="C69" s="685">
        <v>584535937</v>
      </c>
      <c r="D69" s="685">
        <v>0</v>
      </c>
      <c r="E69" s="686">
        <v>584535937</v>
      </c>
    </row>
    <row r="70" spans="1:5" x14ac:dyDescent="0.2">
      <c r="A70" s="661" t="s">
        <v>194</v>
      </c>
      <c r="B70" s="662" t="s">
        <v>182</v>
      </c>
      <c r="C70" s="685">
        <v>699154544</v>
      </c>
      <c r="D70" s="685">
        <v>0</v>
      </c>
      <c r="E70" s="686">
        <v>1147764612</v>
      </c>
    </row>
    <row r="71" spans="1:5" x14ac:dyDescent="0.2">
      <c r="A71" s="663" t="s">
        <v>883</v>
      </c>
      <c r="B71" s="664" t="s">
        <v>183</v>
      </c>
      <c r="C71" s="687">
        <v>23289830213</v>
      </c>
      <c r="D71" s="687">
        <v>0</v>
      </c>
      <c r="E71" s="688">
        <v>24437155055</v>
      </c>
    </row>
    <row r="72" spans="1:5" ht="25.5" x14ac:dyDescent="0.2">
      <c r="A72" s="661" t="s">
        <v>195</v>
      </c>
      <c r="B72" s="662" t="s">
        <v>184</v>
      </c>
      <c r="C72" s="685">
        <v>398972</v>
      </c>
      <c r="D72" s="685">
        <v>0</v>
      </c>
      <c r="E72" s="686">
        <v>361190</v>
      </c>
    </row>
    <row r="73" spans="1:5" ht="25.5" x14ac:dyDescent="0.2">
      <c r="A73" s="661" t="s">
        <v>984</v>
      </c>
      <c r="B73" s="662" t="s">
        <v>185</v>
      </c>
      <c r="C73" s="685">
        <v>16483350</v>
      </c>
      <c r="D73" s="685">
        <v>0</v>
      </c>
      <c r="E73" s="686">
        <v>51767430</v>
      </c>
    </row>
    <row r="74" spans="1:5" ht="25.5" x14ac:dyDescent="0.2">
      <c r="A74" s="661" t="s">
        <v>985</v>
      </c>
      <c r="B74" s="662" t="s">
        <v>190</v>
      </c>
      <c r="C74" s="685">
        <v>0</v>
      </c>
      <c r="D74" s="685">
        <v>0</v>
      </c>
      <c r="E74" s="686">
        <v>115159631</v>
      </c>
    </row>
    <row r="75" spans="1:5" ht="25.5" x14ac:dyDescent="0.2">
      <c r="A75" s="661" t="s">
        <v>884</v>
      </c>
      <c r="B75" s="662" t="s">
        <v>192</v>
      </c>
      <c r="C75" s="685">
        <v>374731</v>
      </c>
      <c r="D75" s="685">
        <v>0</v>
      </c>
      <c r="E75" s="686">
        <v>0</v>
      </c>
    </row>
    <row r="76" spans="1:5" ht="25.5" x14ac:dyDescent="0.2">
      <c r="A76" s="663" t="s">
        <v>986</v>
      </c>
      <c r="B76" s="664" t="s">
        <v>196</v>
      </c>
      <c r="C76" s="687">
        <v>17257053</v>
      </c>
      <c r="D76" s="687">
        <v>0</v>
      </c>
      <c r="E76" s="688">
        <v>167288251</v>
      </c>
    </row>
    <row r="77" spans="1:5" ht="25.5" x14ac:dyDescent="0.2">
      <c r="A77" s="661" t="s">
        <v>987</v>
      </c>
      <c r="B77" s="662" t="s">
        <v>197</v>
      </c>
      <c r="C77" s="685">
        <v>1391200</v>
      </c>
      <c r="D77" s="685">
        <v>0</v>
      </c>
      <c r="E77" s="686">
        <v>38561</v>
      </c>
    </row>
    <row r="78" spans="1:5" ht="38.25" x14ac:dyDescent="0.2">
      <c r="A78" s="661" t="s">
        <v>988</v>
      </c>
      <c r="B78" s="662" t="s">
        <v>499</v>
      </c>
      <c r="C78" s="685">
        <v>535545229</v>
      </c>
      <c r="D78" s="685">
        <v>0</v>
      </c>
      <c r="E78" s="686">
        <v>515885687</v>
      </c>
    </row>
    <row r="79" spans="1:5" ht="38.25" x14ac:dyDescent="0.2">
      <c r="A79" s="661" t="s">
        <v>885</v>
      </c>
      <c r="B79" s="662" t="s">
        <v>198</v>
      </c>
      <c r="C79" s="685">
        <v>472031793</v>
      </c>
      <c r="D79" s="685">
        <v>0</v>
      </c>
      <c r="E79" s="686">
        <v>443849169</v>
      </c>
    </row>
    <row r="80" spans="1:5" ht="38.25" x14ac:dyDescent="0.2">
      <c r="A80" s="661" t="s">
        <v>989</v>
      </c>
      <c r="B80" s="662" t="s">
        <v>500</v>
      </c>
      <c r="C80" s="685">
        <v>63513436</v>
      </c>
      <c r="D80" s="685">
        <v>0</v>
      </c>
      <c r="E80" s="686">
        <v>72036518</v>
      </c>
    </row>
    <row r="81" spans="1:5" ht="25.5" x14ac:dyDescent="0.2">
      <c r="A81" s="663" t="s">
        <v>990</v>
      </c>
      <c r="B81" s="664" t="s">
        <v>199</v>
      </c>
      <c r="C81" s="687">
        <v>536936429</v>
      </c>
      <c r="D81" s="687">
        <v>0</v>
      </c>
      <c r="E81" s="688">
        <v>515924248</v>
      </c>
    </row>
    <row r="82" spans="1:5" x14ac:dyDescent="0.2">
      <c r="A82" s="661" t="s">
        <v>201</v>
      </c>
      <c r="B82" s="662" t="s">
        <v>501</v>
      </c>
      <c r="C82" s="685">
        <v>2391458</v>
      </c>
      <c r="D82" s="685">
        <v>0</v>
      </c>
      <c r="E82" s="686">
        <v>3329394</v>
      </c>
    </row>
    <row r="83" spans="1:5" ht="25.5" x14ac:dyDescent="0.2">
      <c r="A83" s="661" t="s">
        <v>991</v>
      </c>
      <c r="B83" s="662" t="s">
        <v>200</v>
      </c>
      <c r="C83" s="685">
        <v>1330935</v>
      </c>
      <c r="D83" s="685">
        <v>0</v>
      </c>
      <c r="E83" s="686">
        <v>712340</v>
      </c>
    </row>
    <row r="84" spans="1:5" ht="25.5" x14ac:dyDescent="0.2">
      <c r="A84" s="661" t="s">
        <v>992</v>
      </c>
      <c r="B84" s="662" t="s">
        <v>993</v>
      </c>
      <c r="C84" s="685">
        <v>139465</v>
      </c>
      <c r="D84" s="685">
        <v>0</v>
      </c>
      <c r="E84" s="686">
        <v>1121865</v>
      </c>
    </row>
    <row r="85" spans="1:5" ht="25.5" x14ac:dyDescent="0.2">
      <c r="A85" s="663" t="s">
        <v>994</v>
      </c>
      <c r="B85" s="664" t="s">
        <v>202</v>
      </c>
      <c r="C85" s="687">
        <v>3861858</v>
      </c>
      <c r="D85" s="687">
        <v>0</v>
      </c>
      <c r="E85" s="688">
        <v>5163599</v>
      </c>
    </row>
    <row r="86" spans="1:5" x14ac:dyDescent="0.2">
      <c r="A86" s="663" t="s">
        <v>502</v>
      </c>
      <c r="B86" s="664" t="s">
        <v>203</v>
      </c>
      <c r="C86" s="687">
        <v>558055340</v>
      </c>
      <c r="D86" s="687">
        <v>0</v>
      </c>
      <c r="E86" s="688">
        <v>688376098</v>
      </c>
    </row>
    <row r="87" spans="1:5" ht="25.5" x14ac:dyDescent="0.2">
      <c r="A87" s="661" t="s">
        <v>995</v>
      </c>
      <c r="B87" s="662" t="s">
        <v>204</v>
      </c>
      <c r="C87" s="685">
        <v>1647820093</v>
      </c>
      <c r="D87" s="685">
        <v>0</v>
      </c>
      <c r="E87" s="686">
        <v>1897905205</v>
      </c>
    </row>
    <row r="88" spans="1:5" ht="25.5" x14ac:dyDescent="0.2">
      <c r="A88" s="661" t="s">
        <v>503</v>
      </c>
      <c r="B88" s="662" t="s">
        <v>205</v>
      </c>
      <c r="C88" s="685">
        <v>195698040</v>
      </c>
      <c r="D88" s="685">
        <v>0</v>
      </c>
      <c r="E88" s="686">
        <v>240611707</v>
      </c>
    </row>
    <row r="89" spans="1:5" x14ac:dyDescent="0.2">
      <c r="A89" s="661" t="s">
        <v>504</v>
      </c>
      <c r="B89" s="662" t="s">
        <v>206</v>
      </c>
      <c r="C89" s="685">
        <v>3604760615</v>
      </c>
      <c r="D89" s="685">
        <v>0</v>
      </c>
      <c r="E89" s="686">
        <v>3622659243</v>
      </c>
    </row>
    <row r="90" spans="1:5" ht="25.5" x14ac:dyDescent="0.2">
      <c r="A90" s="663" t="s">
        <v>886</v>
      </c>
      <c r="B90" s="664" t="s">
        <v>207</v>
      </c>
      <c r="C90" s="687">
        <v>5448278748</v>
      </c>
      <c r="D90" s="687">
        <v>0</v>
      </c>
      <c r="E90" s="688">
        <v>5761176155</v>
      </c>
    </row>
    <row r="91" spans="1:5" x14ac:dyDescent="0.2">
      <c r="A91" s="665" t="s">
        <v>887</v>
      </c>
      <c r="B91" s="666" t="s">
        <v>208</v>
      </c>
      <c r="C91" s="689">
        <v>29296164301</v>
      </c>
      <c r="D91" s="689">
        <v>0</v>
      </c>
      <c r="E91" s="690">
        <v>30886707308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8" orientation="portrait" horizontalDpi="300" verticalDpi="300" r:id="rId1"/>
  <headerFooter alignWithMargins="0">
    <oddHeader>&amp;CDunaharaszti Város Önkormányzata
2022. zárszámadás&amp;R&amp;A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E31"/>
  <sheetViews>
    <sheetView view="pageBreakPreview" zoomScale="60" zoomScaleNormal="100" workbookViewId="0">
      <selection activeCell="E35" sqref="E35"/>
    </sheetView>
  </sheetViews>
  <sheetFormatPr defaultRowHeight="12.75" x14ac:dyDescent="0.2"/>
  <cols>
    <col min="1" max="1" width="9" style="221" customWidth="1"/>
    <col min="2" max="2" width="44.140625" style="221" customWidth="1"/>
    <col min="3" max="3" width="24.28515625" style="221" customWidth="1"/>
    <col min="4" max="4" width="18.5703125" style="221" customWidth="1"/>
    <col min="5" max="5" width="24.28515625" style="221" customWidth="1"/>
    <col min="6" max="16384" width="9.140625" style="221"/>
  </cols>
  <sheetData>
    <row r="1" spans="1:5" ht="46.5" customHeight="1" x14ac:dyDescent="0.3">
      <c r="A1" s="986" t="s">
        <v>209</v>
      </c>
      <c r="B1" s="987"/>
      <c r="C1" s="987"/>
      <c r="D1" s="987"/>
      <c r="E1" s="987"/>
    </row>
    <row r="2" spans="1:5" s="512" customFormat="1" ht="33.75" customHeight="1" x14ac:dyDescent="0.25">
      <c r="A2" s="549" t="s">
        <v>62</v>
      </c>
      <c r="B2" s="448" t="s">
        <v>2</v>
      </c>
      <c r="C2" s="448" t="s">
        <v>82</v>
      </c>
      <c r="D2" s="448" t="s">
        <v>83</v>
      </c>
      <c r="E2" s="449" t="s">
        <v>84</v>
      </c>
    </row>
    <row r="3" spans="1:5" ht="24.75" customHeight="1" x14ac:dyDescent="0.2">
      <c r="A3" s="667" t="s">
        <v>85</v>
      </c>
      <c r="B3" s="668" t="s">
        <v>505</v>
      </c>
      <c r="C3" s="675">
        <v>3941564458</v>
      </c>
      <c r="D3" s="675">
        <v>0</v>
      </c>
      <c r="E3" s="676">
        <v>4694669693</v>
      </c>
    </row>
    <row r="4" spans="1:5" ht="33.75" customHeight="1" x14ac:dyDescent="0.2">
      <c r="A4" s="669" t="s">
        <v>87</v>
      </c>
      <c r="B4" s="670" t="s">
        <v>506</v>
      </c>
      <c r="C4" s="677">
        <v>240746447</v>
      </c>
      <c r="D4" s="677">
        <v>0</v>
      </c>
      <c r="E4" s="678">
        <v>303969724</v>
      </c>
    </row>
    <row r="5" spans="1:5" ht="28.5" customHeight="1" x14ac:dyDescent="0.2">
      <c r="A5" s="669" t="s">
        <v>89</v>
      </c>
      <c r="B5" s="670" t="s">
        <v>507</v>
      </c>
      <c r="C5" s="677">
        <v>138088819</v>
      </c>
      <c r="D5" s="677">
        <v>0</v>
      </c>
      <c r="E5" s="678">
        <v>41239915</v>
      </c>
    </row>
    <row r="6" spans="1:5" ht="24.75" customHeight="1" x14ac:dyDescent="0.2">
      <c r="A6" s="671" t="s">
        <v>90</v>
      </c>
      <c r="B6" s="672" t="s">
        <v>508</v>
      </c>
      <c r="C6" s="679">
        <v>4320399724</v>
      </c>
      <c r="D6" s="679">
        <v>0</v>
      </c>
      <c r="E6" s="680">
        <v>5039879332</v>
      </c>
    </row>
    <row r="7" spans="1:5" ht="32.25" customHeight="1" x14ac:dyDescent="0.2">
      <c r="A7" s="669" t="s">
        <v>96</v>
      </c>
      <c r="B7" s="670" t="s">
        <v>509</v>
      </c>
      <c r="C7" s="677">
        <v>4679967976</v>
      </c>
      <c r="D7" s="677">
        <v>0</v>
      </c>
      <c r="E7" s="678">
        <v>5498736108</v>
      </c>
    </row>
    <row r="8" spans="1:5" ht="24.75" customHeight="1" x14ac:dyDescent="0.2">
      <c r="A8" s="669" t="s">
        <v>98</v>
      </c>
      <c r="B8" s="670" t="s">
        <v>510</v>
      </c>
      <c r="C8" s="677">
        <v>97272850</v>
      </c>
      <c r="D8" s="677">
        <v>0</v>
      </c>
      <c r="E8" s="678">
        <v>157075741</v>
      </c>
    </row>
    <row r="9" spans="1:5" ht="24.75" customHeight="1" x14ac:dyDescent="0.2">
      <c r="A9" s="669" t="s">
        <v>100</v>
      </c>
      <c r="B9" s="670" t="s">
        <v>511</v>
      </c>
      <c r="C9" s="677">
        <v>114712353</v>
      </c>
      <c r="D9" s="677">
        <v>0</v>
      </c>
      <c r="E9" s="678">
        <v>143308422</v>
      </c>
    </row>
    <row r="10" spans="1:5" ht="24.75" customHeight="1" x14ac:dyDescent="0.2">
      <c r="A10" s="669" t="s">
        <v>102</v>
      </c>
      <c r="B10" s="670" t="s">
        <v>512</v>
      </c>
      <c r="C10" s="677">
        <v>715874112</v>
      </c>
      <c r="D10" s="677">
        <v>0</v>
      </c>
      <c r="E10" s="678">
        <v>1097504476</v>
      </c>
    </row>
    <row r="11" spans="1:5" ht="24.75" customHeight="1" x14ac:dyDescent="0.2">
      <c r="A11" s="671" t="s">
        <v>103</v>
      </c>
      <c r="B11" s="672" t="s">
        <v>513</v>
      </c>
      <c r="C11" s="679">
        <v>5607827291</v>
      </c>
      <c r="D11" s="679">
        <v>0</v>
      </c>
      <c r="E11" s="680">
        <v>6896624747</v>
      </c>
    </row>
    <row r="12" spans="1:5" ht="24.75" customHeight="1" x14ac:dyDescent="0.2">
      <c r="A12" s="669" t="s">
        <v>104</v>
      </c>
      <c r="B12" s="670" t="s">
        <v>514</v>
      </c>
      <c r="C12" s="677">
        <v>92325418</v>
      </c>
      <c r="D12" s="677">
        <v>0</v>
      </c>
      <c r="E12" s="678">
        <v>90215997</v>
      </c>
    </row>
    <row r="13" spans="1:5" ht="24.75" customHeight="1" x14ac:dyDescent="0.2">
      <c r="A13" s="669" t="s">
        <v>106</v>
      </c>
      <c r="B13" s="670" t="s">
        <v>515</v>
      </c>
      <c r="C13" s="677">
        <v>1346069083</v>
      </c>
      <c r="D13" s="677">
        <v>0</v>
      </c>
      <c r="E13" s="678">
        <v>1791788593</v>
      </c>
    </row>
    <row r="14" spans="1:5" ht="24.75" customHeight="1" x14ac:dyDescent="0.2">
      <c r="A14" s="669" t="s">
        <v>107</v>
      </c>
      <c r="B14" s="670" t="s">
        <v>516</v>
      </c>
      <c r="C14" s="677">
        <v>6442329</v>
      </c>
      <c r="D14" s="677">
        <v>0</v>
      </c>
      <c r="E14" s="678">
        <v>7117015</v>
      </c>
    </row>
    <row r="15" spans="1:5" ht="24.75" customHeight="1" x14ac:dyDescent="0.2">
      <c r="A15" s="669" t="s">
        <v>108</v>
      </c>
      <c r="B15" s="670" t="s">
        <v>517</v>
      </c>
      <c r="C15" s="677">
        <v>16474477</v>
      </c>
      <c r="D15" s="677">
        <v>0</v>
      </c>
      <c r="E15" s="678">
        <v>42779641</v>
      </c>
    </row>
    <row r="16" spans="1:5" ht="24.75" customHeight="1" x14ac:dyDescent="0.2">
      <c r="A16" s="671" t="s">
        <v>109</v>
      </c>
      <c r="B16" s="672" t="s">
        <v>518</v>
      </c>
      <c r="C16" s="679">
        <v>1461311307</v>
      </c>
      <c r="D16" s="679">
        <v>0</v>
      </c>
      <c r="E16" s="680">
        <v>1931901246</v>
      </c>
    </row>
    <row r="17" spans="1:5" ht="24.75" customHeight="1" x14ac:dyDescent="0.2">
      <c r="A17" s="669" t="s">
        <v>110</v>
      </c>
      <c r="B17" s="670" t="s">
        <v>519</v>
      </c>
      <c r="C17" s="677">
        <v>1655109560</v>
      </c>
      <c r="D17" s="677">
        <v>0</v>
      </c>
      <c r="E17" s="678">
        <v>1962574654</v>
      </c>
    </row>
    <row r="18" spans="1:5" ht="24.75" customHeight="1" x14ac:dyDescent="0.2">
      <c r="A18" s="669" t="s">
        <v>111</v>
      </c>
      <c r="B18" s="670" t="s">
        <v>520</v>
      </c>
      <c r="C18" s="677">
        <v>364194465</v>
      </c>
      <c r="D18" s="677">
        <v>0</v>
      </c>
      <c r="E18" s="678">
        <v>432138433</v>
      </c>
    </row>
    <row r="19" spans="1:5" ht="24.75" customHeight="1" x14ac:dyDescent="0.2">
      <c r="A19" s="669" t="s">
        <v>112</v>
      </c>
      <c r="B19" s="670" t="s">
        <v>521</v>
      </c>
      <c r="C19" s="677">
        <v>326239631</v>
      </c>
      <c r="D19" s="677">
        <v>0</v>
      </c>
      <c r="E19" s="678">
        <v>341732125</v>
      </c>
    </row>
    <row r="20" spans="1:5" ht="24.75" customHeight="1" x14ac:dyDescent="0.2">
      <c r="A20" s="671" t="s">
        <v>114</v>
      </c>
      <c r="B20" s="672" t="s">
        <v>522</v>
      </c>
      <c r="C20" s="679">
        <v>2345543656</v>
      </c>
      <c r="D20" s="679">
        <v>0</v>
      </c>
      <c r="E20" s="680">
        <v>2736445212</v>
      </c>
    </row>
    <row r="21" spans="1:5" ht="24.75" customHeight="1" x14ac:dyDescent="0.2">
      <c r="A21" s="671" t="s">
        <v>116</v>
      </c>
      <c r="B21" s="672" t="s">
        <v>523</v>
      </c>
      <c r="C21" s="679">
        <v>711332528</v>
      </c>
      <c r="D21" s="679">
        <v>0</v>
      </c>
      <c r="E21" s="680">
        <v>737925232</v>
      </c>
    </row>
    <row r="22" spans="1:5" ht="24.75" customHeight="1" x14ac:dyDescent="0.2">
      <c r="A22" s="671" t="s">
        <v>118</v>
      </c>
      <c r="B22" s="672" t="s">
        <v>524</v>
      </c>
      <c r="C22" s="679">
        <v>4638559693</v>
      </c>
      <c r="D22" s="679">
        <v>0</v>
      </c>
      <c r="E22" s="680">
        <v>5454377452</v>
      </c>
    </row>
    <row r="23" spans="1:5" ht="24.75" customHeight="1" x14ac:dyDescent="0.2">
      <c r="A23" s="671" t="s">
        <v>119</v>
      </c>
      <c r="B23" s="672" t="s">
        <v>525</v>
      </c>
      <c r="C23" s="679">
        <v>771479831</v>
      </c>
      <c r="D23" s="679">
        <v>0</v>
      </c>
      <c r="E23" s="680">
        <v>1075854937</v>
      </c>
    </row>
    <row r="24" spans="1:5" ht="33.75" customHeight="1" x14ac:dyDescent="0.2">
      <c r="A24" s="669" t="s">
        <v>122</v>
      </c>
      <c r="B24" s="670" t="s">
        <v>526</v>
      </c>
      <c r="C24" s="677">
        <v>2872</v>
      </c>
      <c r="D24" s="677">
        <v>0</v>
      </c>
      <c r="E24" s="678">
        <v>123639357</v>
      </c>
    </row>
    <row r="25" spans="1:5" ht="30.75" customHeight="1" x14ac:dyDescent="0.2">
      <c r="A25" s="669" t="s">
        <v>124</v>
      </c>
      <c r="B25" s="670" t="s">
        <v>892</v>
      </c>
      <c r="C25" s="677">
        <v>2692400</v>
      </c>
      <c r="D25" s="677">
        <v>0</v>
      </c>
      <c r="E25" s="678">
        <v>0</v>
      </c>
    </row>
    <row r="26" spans="1:5" ht="30.75" customHeight="1" x14ac:dyDescent="0.2">
      <c r="A26" s="671" t="s">
        <v>126</v>
      </c>
      <c r="B26" s="672" t="s">
        <v>527</v>
      </c>
      <c r="C26" s="679">
        <v>2695272</v>
      </c>
      <c r="D26" s="679">
        <v>0</v>
      </c>
      <c r="E26" s="680">
        <v>123639357</v>
      </c>
    </row>
    <row r="27" spans="1:5" ht="24.75" customHeight="1" x14ac:dyDescent="0.2">
      <c r="A27" s="669" t="s">
        <v>128</v>
      </c>
      <c r="B27" s="670" t="s">
        <v>528</v>
      </c>
      <c r="C27" s="677">
        <v>23180559</v>
      </c>
      <c r="D27" s="677">
        <v>0</v>
      </c>
      <c r="E27" s="678">
        <v>24189682</v>
      </c>
    </row>
    <row r="28" spans="1:5" ht="32.25" customHeight="1" x14ac:dyDescent="0.2">
      <c r="A28" s="669" t="s">
        <v>129</v>
      </c>
      <c r="B28" s="670" t="s">
        <v>529</v>
      </c>
      <c r="C28" s="677">
        <v>51840000</v>
      </c>
      <c r="D28" s="677">
        <v>0</v>
      </c>
      <c r="E28" s="678">
        <v>27540000</v>
      </c>
    </row>
    <row r="29" spans="1:5" ht="30.75" customHeight="1" x14ac:dyDescent="0.2">
      <c r="A29" s="671" t="s">
        <v>130</v>
      </c>
      <c r="B29" s="672" t="s">
        <v>530</v>
      </c>
      <c r="C29" s="679">
        <v>75020559</v>
      </c>
      <c r="D29" s="679">
        <v>0</v>
      </c>
      <c r="E29" s="680">
        <v>51729682</v>
      </c>
    </row>
    <row r="30" spans="1:5" ht="24.75" customHeight="1" x14ac:dyDescent="0.2">
      <c r="A30" s="671" t="s">
        <v>131</v>
      </c>
      <c r="B30" s="672" t="s">
        <v>531</v>
      </c>
      <c r="C30" s="679">
        <v>-72325287</v>
      </c>
      <c r="D30" s="679">
        <v>0</v>
      </c>
      <c r="E30" s="680">
        <v>71909675</v>
      </c>
    </row>
    <row r="31" spans="1:5" ht="24.75" customHeight="1" x14ac:dyDescent="0.2">
      <c r="A31" s="673" t="s">
        <v>133</v>
      </c>
      <c r="B31" s="674" t="s">
        <v>532</v>
      </c>
      <c r="C31" s="681">
        <v>699154544</v>
      </c>
      <c r="D31" s="681">
        <v>0</v>
      </c>
      <c r="E31" s="682">
        <v>1147764612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72" orientation="portrait" horizontalDpi="300" verticalDpi="300" r:id="rId1"/>
  <headerFooter alignWithMargins="0">
    <oddHeader>&amp;CDunaharaszti Város Önkormányzata
2022. zárszámadás&amp;R&amp;A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N40"/>
  <sheetViews>
    <sheetView view="pageBreakPreview" topLeftCell="A7" zoomScale="80" zoomScaleNormal="100" zoomScaleSheetLayoutView="80" workbookViewId="0">
      <selection activeCell="H38" sqref="H38"/>
    </sheetView>
  </sheetViews>
  <sheetFormatPr defaultColWidth="8.85546875" defaultRowHeight="12.75" x14ac:dyDescent="0.2"/>
  <cols>
    <col min="1" max="1" width="4.5703125" style="82" customWidth="1"/>
    <col min="2" max="2" width="61.42578125" style="82" customWidth="1"/>
    <col min="3" max="3" width="8" style="82" customWidth="1"/>
    <col min="4" max="5" width="18.42578125" style="82" bestFit="1" customWidth="1"/>
    <col min="6" max="6" width="18.5703125" style="82" bestFit="1" customWidth="1"/>
    <col min="7" max="7" width="3.85546875" style="82" customWidth="1"/>
    <col min="8" max="8" width="68.140625" style="82" customWidth="1"/>
    <col min="9" max="9" width="7.28515625" style="82" customWidth="1"/>
    <col min="10" max="10" width="19.85546875" style="82" customWidth="1"/>
    <col min="11" max="11" width="17.140625" style="82" customWidth="1"/>
    <col min="12" max="12" width="18.42578125" style="82" bestFit="1" customWidth="1"/>
    <col min="13" max="13" width="8.85546875" style="82"/>
    <col min="14" max="14" width="14.5703125" style="82" bestFit="1" customWidth="1"/>
    <col min="15" max="16384" width="8.85546875" style="82"/>
  </cols>
  <sheetData>
    <row r="1" spans="1:14" ht="35.450000000000003" customHeight="1" x14ac:dyDescent="0.2">
      <c r="A1" s="999" t="s">
        <v>1184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81"/>
      <c r="N1" s="81"/>
    </row>
    <row r="2" spans="1:14" s="83" customFormat="1" ht="3.7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83" customForma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  <c r="M3" s="82"/>
      <c r="N3" s="82"/>
    </row>
    <row r="4" spans="1:14" ht="18.75" x14ac:dyDescent="0.2">
      <c r="A4" s="998" t="s">
        <v>1</v>
      </c>
      <c r="B4" s="991" t="s">
        <v>343</v>
      </c>
      <c r="C4" s="991"/>
      <c r="D4" s="991"/>
      <c r="E4" s="991"/>
      <c r="F4" s="991"/>
      <c r="G4" s="86"/>
      <c r="H4" s="991" t="s">
        <v>342</v>
      </c>
      <c r="I4" s="991"/>
      <c r="J4" s="991"/>
      <c r="K4" s="991"/>
      <c r="L4" s="991"/>
      <c r="M4" s="83"/>
      <c r="N4" s="83"/>
    </row>
    <row r="5" spans="1:14" ht="18.75" x14ac:dyDescent="0.2">
      <c r="A5" s="998"/>
      <c r="B5" s="993" t="s">
        <v>2</v>
      </c>
      <c r="C5" s="993" t="s">
        <v>341</v>
      </c>
      <c r="D5" s="995" t="s">
        <v>231</v>
      </c>
      <c r="E5" s="996"/>
      <c r="F5" s="997"/>
      <c r="G5" s="87"/>
      <c r="H5" s="993" t="s">
        <v>2</v>
      </c>
      <c r="I5" s="993" t="s">
        <v>341</v>
      </c>
      <c r="J5" s="995" t="s">
        <v>231</v>
      </c>
      <c r="K5" s="996"/>
      <c r="L5" s="997"/>
      <c r="M5" s="83"/>
      <c r="N5" s="83"/>
    </row>
    <row r="6" spans="1:14" ht="29.25" customHeight="1" x14ac:dyDescent="0.2">
      <c r="A6" s="998"/>
      <c r="B6" s="994"/>
      <c r="C6" s="994"/>
      <c r="D6" s="88" t="s">
        <v>393</v>
      </c>
      <c r="E6" s="88" t="s">
        <v>394</v>
      </c>
      <c r="F6" s="88" t="s">
        <v>392</v>
      </c>
      <c r="G6" s="89"/>
      <c r="H6" s="994"/>
      <c r="I6" s="994"/>
      <c r="J6" s="88" t="s">
        <v>393</v>
      </c>
      <c r="K6" s="88" t="s">
        <v>394</v>
      </c>
      <c r="L6" s="88" t="s">
        <v>392</v>
      </c>
      <c r="M6" s="83"/>
      <c r="N6" s="83"/>
    </row>
    <row r="7" spans="1:14" ht="15.75" x14ac:dyDescent="0.2">
      <c r="A7" s="90" t="s">
        <v>3</v>
      </c>
      <c r="B7" s="91" t="s">
        <v>340</v>
      </c>
      <c r="C7" s="92" t="s">
        <v>339</v>
      </c>
      <c r="D7" s="93">
        <v>1822145963</v>
      </c>
      <c r="E7" s="93">
        <v>2690598608</v>
      </c>
      <c r="F7" s="94">
        <v>2690590608</v>
      </c>
      <c r="G7" s="95"/>
      <c r="H7" s="96" t="s">
        <v>338</v>
      </c>
      <c r="I7" s="97" t="s">
        <v>337</v>
      </c>
      <c r="J7" s="93">
        <v>2544712063</v>
      </c>
      <c r="K7" s="93">
        <v>2706495246</v>
      </c>
      <c r="L7" s="94">
        <v>2373246745</v>
      </c>
    </row>
    <row r="8" spans="1:14" ht="15.75" x14ac:dyDescent="0.2">
      <c r="A8" s="90" t="s">
        <v>4</v>
      </c>
      <c r="B8" s="91" t="s">
        <v>336</v>
      </c>
      <c r="C8" s="92" t="s">
        <v>335</v>
      </c>
      <c r="D8" s="93">
        <v>0</v>
      </c>
      <c r="E8" s="93">
        <v>54255209</v>
      </c>
      <c r="F8" s="94">
        <v>54255209</v>
      </c>
      <c r="G8" s="95"/>
      <c r="H8" s="91" t="s">
        <v>334</v>
      </c>
      <c r="I8" s="97" t="s">
        <v>333</v>
      </c>
      <c r="J8" s="93">
        <v>380347031</v>
      </c>
      <c r="K8" s="93">
        <v>400975191</v>
      </c>
      <c r="L8" s="94">
        <v>339888408</v>
      </c>
    </row>
    <row r="9" spans="1:14" ht="15.75" x14ac:dyDescent="0.2">
      <c r="A9" s="90" t="s">
        <v>5</v>
      </c>
      <c r="B9" s="91" t="s">
        <v>332</v>
      </c>
      <c r="C9" s="92" t="s">
        <v>331</v>
      </c>
      <c r="D9" s="93">
        <v>3873339111</v>
      </c>
      <c r="E9" s="93">
        <v>4723504433</v>
      </c>
      <c r="F9" s="94">
        <v>4668166677</v>
      </c>
      <c r="G9" s="95"/>
      <c r="H9" s="91" t="s">
        <v>330</v>
      </c>
      <c r="I9" s="97" t="s">
        <v>329</v>
      </c>
      <c r="J9" s="93">
        <v>3452661593</v>
      </c>
      <c r="K9" s="93">
        <v>4184667018</v>
      </c>
      <c r="L9" s="94">
        <v>3366761708</v>
      </c>
    </row>
    <row r="10" spans="1:14" ht="15.75" x14ac:dyDescent="0.2">
      <c r="A10" s="90" t="s">
        <v>6</v>
      </c>
      <c r="B10" s="91" t="s">
        <v>328</v>
      </c>
      <c r="C10" s="92" t="s">
        <v>327</v>
      </c>
      <c r="D10" s="93">
        <v>737715821</v>
      </c>
      <c r="E10" s="93">
        <v>884721530</v>
      </c>
      <c r="F10" s="94">
        <v>833531611</v>
      </c>
      <c r="G10" s="95"/>
      <c r="H10" s="91" t="s">
        <v>326</v>
      </c>
      <c r="I10" s="97" t="s">
        <v>325</v>
      </c>
      <c r="J10" s="93">
        <v>44000000</v>
      </c>
      <c r="K10" s="93">
        <v>47819430</v>
      </c>
      <c r="L10" s="94">
        <v>31814129</v>
      </c>
    </row>
    <row r="11" spans="1:14" ht="15.75" x14ac:dyDescent="0.2">
      <c r="A11" s="90" t="s">
        <v>7</v>
      </c>
      <c r="B11" s="91" t="s">
        <v>324</v>
      </c>
      <c r="C11" s="92" t="s">
        <v>323</v>
      </c>
      <c r="D11" s="93">
        <v>720079203</v>
      </c>
      <c r="E11" s="93">
        <v>741978797</v>
      </c>
      <c r="F11" s="94">
        <v>741978797</v>
      </c>
      <c r="G11" s="95"/>
      <c r="H11" s="91" t="s">
        <v>322</v>
      </c>
      <c r="I11" s="97" t="s">
        <v>321</v>
      </c>
      <c r="J11" s="93">
        <v>2081276868</v>
      </c>
      <c r="K11" s="93">
        <v>3268729967</v>
      </c>
      <c r="L11" s="94">
        <v>1387456708</v>
      </c>
    </row>
    <row r="12" spans="1:14" ht="15.75" x14ac:dyDescent="0.2">
      <c r="A12" s="90" t="s">
        <v>8</v>
      </c>
      <c r="B12" s="91" t="s">
        <v>320</v>
      </c>
      <c r="C12" s="92" t="s">
        <v>319</v>
      </c>
      <c r="D12" s="93">
        <v>0</v>
      </c>
      <c r="E12" s="93">
        <v>295000</v>
      </c>
      <c r="F12" s="94">
        <v>295000</v>
      </c>
      <c r="G12" s="95"/>
      <c r="H12" s="91" t="s">
        <v>318</v>
      </c>
      <c r="I12" s="97" t="s">
        <v>317</v>
      </c>
      <c r="J12" s="93">
        <v>1834448550</v>
      </c>
      <c r="K12" s="93">
        <v>2057444045</v>
      </c>
      <c r="L12" s="94">
        <v>1014657378</v>
      </c>
    </row>
    <row r="13" spans="1:14" ht="15.75" x14ac:dyDescent="0.2">
      <c r="A13" s="90" t="s">
        <v>9</v>
      </c>
      <c r="B13" s="91" t="s">
        <v>316</v>
      </c>
      <c r="C13" s="92" t="s">
        <v>315</v>
      </c>
      <c r="D13" s="93">
        <v>6587200</v>
      </c>
      <c r="E13" s="93">
        <v>9541550</v>
      </c>
      <c r="F13" s="94">
        <v>9408250</v>
      </c>
      <c r="G13" s="95"/>
      <c r="H13" s="91" t="s">
        <v>314</v>
      </c>
      <c r="I13" s="97" t="s">
        <v>313</v>
      </c>
      <c r="J13" s="93">
        <v>227236267</v>
      </c>
      <c r="K13" s="93">
        <v>174757458</v>
      </c>
      <c r="L13" s="94">
        <v>130277202</v>
      </c>
    </row>
    <row r="14" spans="1:14" ht="15.75" x14ac:dyDescent="0.2">
      <c r="A14" s="90" t="s">
        <v>23</v>
      </c>
      <c r="B14" s="92"/>
      <c r="C14" s="92"/>
      <c r="D14" s="93"/>
      <c r="E14" s="93"/>
      <c r="F14" s="94"/>
      <c r="G14" s="95"/>
      <c r="H14" s="91" t="s">
        <v>312</v>
      </c>
      <c r="I14" s="97" t="s">
        <v>311</v>
      </c>
      <c r="J14" s="93">
        <v>23820000</v>
      </c>
      <c r="K14" s="93">
        <v>34271261</v>
      </c>
      <c r="L14" s="94">
        <v>28951771</v>
      </c>
    </row>
    <row r="15" spans="1:14" s="100" customFormat="1" ht="18" customHeight="1" x14ac:dyDescent="0.2">
      <c r="A15" s="88" t="s">
        <v>25</v>
      </c>
      <c r="B15" s="92" t="s">
        <v>310</v>
      </c>
      <c r="C15" s="92" t="s">
        <v>309</v>
      </c>
      <c r="D15" s="98">
        <f>SUM(D7:D14)</f>
        <v>7159867298</v>
      </c>
      <c r="E15" s="98">
        <f>SUM(E7:E14)</f>
        <v>9104895127</v>
      </c>
      <c r="F15" s="98">
        <f>SUM(F7:F14)</f>
        <v>8998226152</v>
      </c>
      <c r="G15" s="99"/>
      <c r="H15" s="92" t="s">
        <v>308</v>
      </c>
      <c r="I15" s="92" t="s">
        <v>307</v>
      </c>
      <c r="J15" s="98">
        <f>SUM(J7:J14)</f>
        <v>10588502372</v>
      </c>
      <c r="K15" s="98">
        <f>SUM(K7:K14)</f>
        <v>12875159616</v>
      </c>
      <c r="L15" s="98">
        <f>SUM(L7:L14)</f>
        <v>8673054049</v>
      </c>
    </row>
    <row r="16" spans="1:14" ht="15.75" x14ac:dyDescent="0.2">
      <c r="A16" s="90" t="s">
        <v>27</v>
      </c>
      <c r="B16" s="91" t="s">
        <v>306</v>
      </c>
      <c r="C16" s="92"/>
      <c r="D16" s="93">
        <f>+D7+D9+D10+D12</f>
        <v>6433200895</v>
      </c>
      <c r="E16" s="93">
        <f>+E7+E9+E10+E12</f>
        <v>8299119571</v>
      </c>
      <c r="F16" s="93">
        <f>+F7+F9+F10+F12</f>
        <v>8192583896</v>
      </c>
      <c r="G16" s="95"/>
      <c r="H16" s="91" t="s">
        <v>305</v>
      </c>
      <c r="I16" s="91"/>
      <c r="J16" s="93">
        <f>+J7+J8+J9+J10+J11</f>
        <v>8502997555</v>
      </c>
      <c r="K16" s="93">
        <f>+K7+K8+K9+K10+K11</f>
        <v>10608686852</v>
      </c>
      <c r="L16" s="93">
        <f>+L7+L8+L9+L10+L11</f>
        <v>7499167698</v>
      </c>
    </row>
    <row r="17" spans="1:12" ht="15.75" x14ac:dyDescent="0.2">
      <c r="A17" s="90" t="s">
        <v>30</v>
      </c>
      <c r="B17" s="91" t="s">
        <v>304</v>
      </c>
      <c r="C17" s="92"/>
      <c r="D17" s="93">
        <f>+D8+D11+D13</f>
        <v>726666403</v>
      </c>
      <c r="E17" s="93">
        <f>+E8+E11+E13</f>
        <v>805775556</v>
      </c>
      <c r="F17" s="93">
        <f>+F8+F11+F13</f>
        <v>805642256</v>
      </c>
      <c r="G17" s="95"/>
      <c r="H17" s="91" t="s">
        <v>303</v>
      </c>
      <c r="I17" s="92"/>
      <c r="J17" s="93">
        <f>+J12+J13+J14</f>
        <v>2085504817</v>
      </c>
      <c r="K17" s="93">
        <f>+K12+K13+K14</f>
        <v>2266472764</v>
      </c>
      <c r="L17" s="93">
        <f>+L12+L13+L14</f>
        <v>1173886351</v>
      </c>
    </row>
    <row r="18" spans="1:12" s="100" customFormat="1" ht="15.75" x14ac:dyDescent="0.2">
      <c r="A18" s="88" t="s">
        <v>32</v>
      </c>
      <c r="B18" s="92" t="s">
        <v>302</v>
      </c>
      <c r="C18" s="92" t="s">
        <v>301</v>
      </c>
      <c r="D18" s="98">
        <f>SUM(D19:D25)</f>
        <v>7096123177</v>
      </c>
      <c r="E18" s="98">
        <f>SUM(E19:E25)</f>
        <v>7941777357</v>
      </c>
      <c r="F18" s="98">
        <f>SUM(F19:F25)</f>
        <v>35579789364</v>
      </c>
      <c r="G18" s="99"/>
      <c r="H18" s="92" t="s">
        <v>300</v>
      </c>
      <c r="I18" s="92" t="s">
        <v>299</v>
      </c>
      <c r="J18" s="98">
        <f>SUM(J19:J23)</f>
        <v>3667488103</v>
      </c>
      <c r="K18" s="98">
        <f>SUM(K19:K23)</f>
        <v>4171512868</v>
      </c>
      <c r="L18" s="98">
        <f>SUM(L19:L23)</f>
        <v>31809524875</v>
      </c>
    </row>
    <row r="19" spans="1:12" s="100" customFormat="1" ht="15.75" x14ac:dyDescent="0.2">
      <c r="A19" s="90" t="s">
        <v>33</v>
      </c>
      <c r="B19" s="101" t="s">
        <v>563</v>
      </c>
      <c r="C19" s="92"/>
      <c r="D19" s="98">
        <v>0</v>
      </c>
      <c r="E19" s="93">
        <v>367105047</v>
      </c>
      <c r="F19" s="93">
        <v>367105047</v>
      </c>
      <c r="G19" s="99"/>
      <c r="H19" s="101" t="s">
        <v>298</v>
      </c>
      <c r="I19" s="91"/>
      <c r="J19" s="93">
        <v>63513436</v>
      </c>
      <c r="K19" s="93">
        <v>358581965</v>
      </c>
      <c r="L19" s="94">
        <v>358581965</v>
      </c>
    </row>
    <row r="20" spans="1:12" ht="15.75" x14ac:dyDescent="0.2">
      <c r="A20" s="90" t="s">
        <v>33</v>
      </c>
      <c r="B20" s="101" t="s">
        <v>695</v>
      </c>
      <c r="C20" s="91"/>
      <c r="D20" s="93">
        <v>2257836308</v>
      </c>
      <c r="E20" s="93">
        <v>2417169015</v>
      </c>
      <c r="F20" s="94">
        <v>2417169015</v>
      </c>
      <c r="G20" s="95"/>
      <c r="H20" s="91" t="s">
        <v>297</v>
      </c>
      <c r="I20" s="92"/>
      <c r="J20" s="93">
        <v>3513510223</v>
      </c>
      <c r="K20" s="93">
        <v>3686246941</v>
      </c>
      <c r="L20" s="94">
        <v>3124258948</v>
      </c>
    </row>
    <row r="21" spans="1:12" ht="15.75" x14ac:dyDescent="0.2">
      <c r="A21" s="90" t="s">
        <v>34</v>
      </c>
      <c r="B21" s="91" t="s">
        <v>696</v>
      </c>
      <c r="C21" s="91"/>
      <c r="D21" s="93">
        <v>1262494826</v>
      </c>
      <c r="E21" s="93">
        <v>1372755016</v>
      </c>
      <c r="F21" s="94">
        <v>1372755016</v>
      </c>
      <c r="G21" s="95"/>
      <c r="H21" s="91" t="s">
        <v>295</v>
      </c>
      <c r="I21" s="102"/>
      <c r="J21" s="93">
        <v>62281820</v>
      </c>
      <c r="K21" s="93">
        <v>98501338</v>
      </c>
      <c r="L21" s="94">
        <v>98501338</v>
      </c>
    </row>
    <row r="22" spans="1:12" ht="15.75" x14ac:dyDescent="0.2">
      <c r="A22" s="90" t="s">
        <v>35</v>
      </c>
      <c r="B22" s="91" t="s">
        <v>296</v>
      </c>
      <c r="C22" s="91"/>
      <c r="D22" s="93">
        <v>3513510223</v>
      </c>
      <c r="E22" s="93">
        <v>3686246941</v>
      </c>
      <c r="F22" s="94">
        <v>3124258948</v>
      </c>
      <c r="G22" s="95"/>
      <c r="H22" s="91" t="s">
        <v>293</v>
      </c>
      <c r="I22" s="104"/>
      <c r="J22" s="93">
        <v>28182624</v>
      </c>
      <c r="K22" s="93">
        <v>28182624</v>
      </c>
      <c r="L22" s="94">
        <v>28182624</v>
      </c>
    </row>
    <row r="23" spans="1:12" ht="15.75" x14ac:dyDescent="0.2">
      <c r="A23" s="90" t="s">
        <v>37</v>
      </c>
      <c r="B23" s="91" t="s">
        <v>294</v>
      </c>
      <c r="C23" s="91"/>
      <c r="D23" s="93">
        <v>62281820</v>
      </c>
      <c r="E23" s="93">
        <v>98501338</v>
      </c>
      <c r="F23" s="94">
        <v>98501338</v>
      </c>
      <c r="G23" s="95"/>
      <c r="H23" s="91" t="s">
        <v>698</v>
      </c>
      <c r="J23" s="93">
        <v>0</v>
      </c>
      <c r="K23" s="93">
        <v>0</v>
      </c>
      <c r="L23" s="93">
        <v>28200000000</v>
      </c>
    </row>
    <row r="24" spans="1:12" ht="15.75" x14ac:dyDescent="0.2">
      <c r="A24" s="90" t="s">
        <v>47</v>
      </c>
      <c r="B24" s="101" t="s">
        <v>292</v>
      </c>
      <c r="C24" s="91"/>
      <c r="D24" s="93">
        <v>0</v>
      </c>
      <c r="E24" s="93">
        <v>0</v>
      </c>
      <c r="F24" s="94">
        <v>0</v>
      </c>
      <c r="G24" s="95"/>
      <c r="H24" s="92"/>
      <c r="I24" s="104"/>
      <c r="J24" s="103"/>
      <c r="K24" s="103"/>
      <c r="L24" s="94"/>
    </row>
    <row r="25" spans="1:12" ht="15.75" x14ac:dyDescent="0.2">
      <c r="A25" s="90" t="s">
        <v>49</v>
      </c>
      <c r="B25" s="101" t="s">
        <v>697</v>
      </c>
      <c r="C25" s="212"/>
      <c r="D25" s="213">
        <v>0</v>
      </c>
      <c r="E25" s="213">
        <v>0</v>
      </c>
      <c r="F25" s="214">
        <v>28200000000</v>
      </c>
      <c r="G25" s="215"/>
      <c r="H25" s="216"/>
      <c r="I25" s="217"/>
      <c r="J25" s="218"/>
      <c r="K25" s="218"/>
      <c r="L25" s="214"/>
    </row>
    <row r="26" spans="1:12" s="100" customFormat="1" ht="18.75" customHeight="1" x14ac:dyDescent="0.25">
      <c r="A26" s="88" t="s">
        <v>49</v>
      </c>
      <c r="B26" s="105" t="s">
        <v>291</v>
      </c>
      <c r="C26" s="106" t="s">
        <v>290</v>
      </c>
      <c r="D26" s="107">
        <f>+D15+D18</f>
        <v>14255990475</v>
      </c>
      <c r="E26" s="107">
        <f>+E15+E18</f>
        <v>17046672484</v>
      </c>
      <c r="F26" s="107">
        <f>+F15+F18</f>
        <v>44578015516</v>
      </c>
      <c r="G26" s="108"/>
      <c r="H26" s="109" t="s">
        <v>289</v>
      </c>
      <c r="I26" s="109" t="s">
        <v>288</v>
      </c>
      <c r="J26" s="110">
        <f>+J15+J18</f>
        <v>14255990475</v>
      </c>
      <c r="K26" s="110">
        <f>+K15+K18</f>
        <v>17046672484</v>
      </c>
      <c r="L26" s="110">
        <f>+L15+L18</f>
        <v>40482578924</v>
      </c>
    </row>
    <row r="28" spans="1:12" ht="25.5" x14ac:dyDescent="0.2">
      <c r="D28" s="83" t="s">
        <v>393</v>
      </c>
      <c r="E28" s="83" t="s">
        <v>394</v>
      </c>
      <c r="F28" s="83" t="s">
        <v>392</v>
      </c>
      <c r="J28" s="117"/>
      <c r="K28" s="117"/>
      <c r="L28" s="117"/>
    </row>
    <row r="29" spans="1:12" ht="15.75" x14ac:dyDescent="0.2">
      <c r="B29" s="992" t="s">
        <v>287</v>
      </c>
      <c r="C29" s="992"/>
      <c r="D29" s="111">
        <f>+D16</f>
        <v>6433200895</v>
      </c>
      <c r="E29" s="111">
        <f>+E16</f>
        <v>8299119571</v>
      </c>
      <c r="F29" s="111">
        <f>+F16</f>
        <v>8192583896</v>
      </c>
      <c r="G29" s="112"/>
    </row>
    <row r="30" spans="1:12" ht="15.75" x14ac:dyDescent="0.2">
      <c r="B30" s="992" t="s">
        <v>286</v>
      </c>
      <c r="C30" s="992"/>
      <c r="D30" s="111">
        <f>+J16</f>
        <v>8502997555</v>
      </c>
      <c r="E30" s="111">
        <f>+K16</f>
        <v>10608686852</v>
      </c>
      <c r="F30" s="111">
        <f>+L16</f>
        <v>7499167698</v>
      </c>
      <c r="G30" s="112"/>
    </row>
    <row r="31" spans="1:12" s="100" customFormat="1" ht="15.75" x14ac:dyDescent="0.2">
      <c r="B31" s="988" t="s">
        <v>285</v>
      </c>
      <c r="C31" s="988"/>
      <c r="D31" s="113">
        <f>+D29-D30</f>
        <v>-2069796660</v>
      </c>
      <c r="E31" s="113">
        <f>+E29-E30</f>
        <v>-2309567281</v>
      </c>
      <c r="F31" s="113">
        <f>+F29-F30</f>
        <v>693416198</v>
      </c>
      <c r="G31" s="114"/>
    </row>
    <row r="32" spans="1:12" ht="15.75" x14ac:dyDescent="0.2">
      <c r="B32" s="114"/>
      <c r="C32" s="114"/>
      <c r="D32" s="111"/>
      <c r="E32" s="111"/>
      <c r="F32" s="111"/>
      <c r="G32" s="114"/>
    </row>
    <row r="33" spans="2:14" ht="15.75" x14ac:dyDescent="0.2">
      <c r="B33" s="992" t="s">
        <v>284</v>
      </c>
      <c r="C33" s="992"/>
      <c r="D33" s="111">
        <f>+D17</f>
        <v>726666403</v>
      </c>
      <c r="E33" s="111">
        <f>+E17</f>
        <v>805775556</v>
      </c>
      <c r="F33" s="111">
        <f>+F17</f>
        <v>805642256</v>
      </c>
      <c r="G33" s="112"/>
      <c r="H33" s="117"/>
      <c r="I33" s="117"/>
      <c r="J33" s="117"/>
    </row>
    <row r="34" spans="2:14" ht="15.75" x14ac:dyDescent="0.2">
      <c r="B34" s="992" t="s">
        <v>283</v>
      </c>
      <c r="C34" s="992"/>
      <c r="D34" s="111">
        <f>+J17</f>
        <v>2085504817</v>
      </c>
      <c r="E34" s="111">
        <f>+K17</f>
        <v>2266472764</v>
      </c>
      <c r="F34" s="111">
        <f>+L17</f>
        <v>1173886351</v>
      </c>
      <c r="G34" s="112"/>
    </row>
    <row r="35" spans="2:14" s="100" customFormat="1" ht="15.75" x14ac:dyDescent="0.2">
      <c r="B35" s="988" t="s">
        <v>282</v>
      </c>
      <c r="C35" s="988"/>
      <c r="D35" s="113">
        <f>+D33-D34</f>
        <v>-1358838414</v>
      </c>
      <c r="E35" s="113">
        <f>+E33-E34</f>
        <v>-1460697208</v>
      </c>
      <c r="F35" s="113">
        <f>+F33-F34</f>
        <v>-368244095</v>
      </c>
      <c r="G35" s="114"/>
    </row>
    <row r="36" spans="2:14" ht="15.75" x14ac:dyDescent="0.2">
      <c r="B36" s="114"/>
      <c r="C36" s="114"/>
      <c r="D36" s="111"/>
      <c r="E36" s="111"/>
      <c r="F36" s="111"/>
      <c r="G36" s="114"/>
    </row>
    <row r="37" spans="2:14" ht="32.25" customHeight="1" x14ac:dyDescent="0.2">
      <c r="B37" s="989" t="s">
        <v>281</v>
      </c>
      <c r="C37" s="989"/>
      <c r="D37" s="111">
        <f>+D31+D35</f>
        <v>-3428635074</v>
      </c>
      <c r="E37" s="111">
        <f>+E31+E35</f>
        <v>-3770264489</v>
      </c>
      <c r="F37" s="111">
        <f>+F31+F35</f>
        <v>325172103</v>
      </c>
      <c r="G37" s="115"/>
    </row>
    <row r="38" spans="2:14" ht="39" customHeight="1" x14ac:dyDescent="0.2">
      <c r="B38" s="989" t="s">
        <v>280</v>
      </c>
      <c r="C38" s="989"/>
      <c r="D38" s="111">
        <f>+D18-J18</f>
        <v>3428635074</v>
      </c>
      <c r="E38" s="111">
        <f>+E18-K18</f>
        <v>3770264489</v>
      </c>
      <c r="F38" s="111">
        <f>+F18-L18</f>
        <v>3770264489</v>
      </c>
      <c r="G38" s="111"/>
    </row>
    <row r="39" spans="2:14" s="100" customFormat="1" ht="36" customHeight="1" x14ac:dyDescent="0.2">
      <c r="B39" s="990" t="s">
        <v>1185</v>
      </c>
      <c r="C39" s="990"/>
      <c r="D39" s="113">
        <f>+D37+D38</f>
        <v>0</v>
      </c>
      <c r="E39" s="113">
        <f>+E37+E38</f>
        <v>0</v>
      </c>
      <c r="F39" s="113">
        <f>+F37+F38</f>
        <v>4095436592</v>
      </c>
      <c r="G39" s="116"/>
    </row>
    <row r="40" spans="2:14" x14ac:dyDescent="0.2">
      <c r="N40" s="117">
        <f>+F26-L26</f>
        <v>4095436592</v>
      </c>
    </row>
  </sheetData>
  <mergeCells count="19">
    <mergeCell ref="J5:L5"/>
    <mergeCell ref="H5:H6"/>
    <mergeCell ref="I5:I6"/>
    <mergeCell ref="A4:A6"/>
    <mergeCell ref="A1:L1"/>
    <mergeCell ref="H4:L4"/>
    <mergeCell ref="B35:C35"/>
    <mergeCell ref="B37:C37"/>
    <mergeCell ref="B38:C38"/>
    <mergeCell ref="B39:C39"/>
    <mergeCell ref="B4:F4"/>
    <mergeCell ref="B34:C34"/>
    <mergeCell ref="B33:C33"/>
    <mergeCell ref="B5:B6"/>
    <mergeCell ref="C5:C6"/>
    <mergeCell ref="D5:F5"/>
    <mergeCell ref="B29:C29"/>
    <mergeCell ref="B30:C30"/>
    <mergeCell ref="B31:C31"/>
  </mergeCells>
  <printOptions horizontalCentered="1"/>
  <pageMargins left="0.27559055118110237" right="0.43307086614173229" top="0.74803149606299213" bottom="0.74803149606299213" header="0.31496062992125984" footer="0.31496062992125984"/>
  <pageSetup paperSize="9" scale="53" orientation="landscape" r:id="rId1"/>
  <headerFooter>
    <oddHeader>&amp;CDunaharaszti Város Önkormányzat 
2022. évi zárszámadás&amp;R&amp;A</oddHeader>
    <oddFooter>&amp;C&amp;P/&amp;N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Y107"/>
  <sheetViews>
    <sheetView view="pageBreakPreview" zoomScaleNormal="100" zoomScaleSheetLayoutView="100" workbookViewId="0">
      <pane xSplit="2" ySplit="2" topLeftCell="C9" activePane="bottomRight" state="frozen"/>
      <selection activeCell="G30" sqref="G30"/>
      <selection pane="topRight" activeCell="G30" sqref="G30"/>
      <selection pane="bottomLeft" activeCell="G30" sqref="G30"/>
      <selection pane="bottomRight" activeCell="C22" sqref="C22"/>
    </sheetView>
  </sheetViews>
  <sheetFormatPr defaultRowHeight="12.75" x14ac:dyDescent="0.2"/>
  <cols>
    <col min="1" max="1" width="5.5703125" style="221" customWidth="1"/>
    <col min="2" max="2" width="66.140625" style="221" customWidth="1"/>
    <col min="3" max="3" width="17.42578125" style="221" customWidth="1"/>
    <col min="4" max="22" width="14.85546875" style="221" customWidth="1"/>
    <col min="23" max="23" width="15" style="221" customWidth="1"/>
    <col min="24" max="24" width="12.28515625" style="221" bestFit="1" customWidth="1"/>
    <col min="25" max="16384" width="9.140625" style="221"/>
  </cols>
  <sheetData>
    <row r="1" spans="1:22" ht="36.6" customHeight="1" x14ac:dyDescent="0.2">
      <c r="A1" s="222"/>
      <c r="B1" s="223"/>
      <c r="C1" s="1000" t="s">
        <v>843</v>
      </c>
      <c r="D1" s="1000"/>
      <c r="E1" s="1000"/>
      <c r="F1" s="1000"/>
      <c r="G1" s="1000"/>
      <c r="H1" s="1000"/>
      <c r="I1" s="1000"/>
      <c r="J1" s="1000"/>
      <c r="K1" s="1000"/>
      <c r="L1" s="1000" t="s">
        <v>843</v>
      </c>
      <c r="M1" s="1000"/>
      <c r="N1" s="1000"/>
      <c r="O1" s="1000"/>
      <c r="P1" s="1000"/>
      <c r="Q1" s="1000"/>
      <c r="R1" s="1000"/>
      <c r="S1" s="1000"/>
      <c r="T1" s="1000"/>
      <c r="U1" s="732"/>
    </row>
    <row r="2" spans="1:22" s="118" customFormat="1" ht="35.25" customHeight="1" x14ac:dyDescent="0.2">
      <c r="A2" s="733" t="s">
        <v>1</v>
      </c>
      <c r="B2" s="637" t="s">
        <v>2</v>
      </c>
      <c r="C2" s="733" t="s">
        <v>600</v>
      </c>
      <c r="D2" s="733" t="s">
        <v>601</v>
      </c>
      <c r="E2" s="733" t="s">
        <v>602</v>
      </c>
      <c r="F2" s="733" t="s">
        <v>603</v>
      </c>
      <c r="G2" s="733" t="s">
        <v>604</v>
      </c>
      <c r="H2" s="733" t="s">
        <v>605</v>
      </c>
      <c r="I2" s="733" t="s">
        <v>606</v>
      </c>
      <c r="J2" s="733" t="s">
        <v>607</v>
      </c>
      <c r="K2" s="733" t="s">
        <v>608</v>
      </c>
      <c r="L2" s="733" t="s">
        <v>609</v>
      </c>
      <c r="M2" s="733" t="s">
        <v>610</v>
      </c>
      <c r="N2" s="733" t="s">
        <v>611</v>
      </c>
      <c r="O2" s="733" t="s">
        <v>612</v>
      </c>
      <c r="P2" s="733" t="s">
        <v>613</v>
      </c>
      <c r="Q2" s="733" t="s">
        <v>614</v>
      </c>
      <c r="R2" s="733" t="s">
        <v>615</v>
      </c>
      <c r="S2" s="733" t="s">
        <v>616</v>
      </c>
      <c r="T2" s="733" t="s">
        <v>80</v>
      </c>
    </row>
    <row r="3" spans="1:22" s="224" customFormat="1" ht="21" customHeight="1" x14ac:dyDescent="0.2">
      <c r="A3" s="636" t="s">
        <v>3</v>
      </c>
      <c r="B3" s="636" t="s">
        <v>344</v>
      </c>
      <c r="C3" s="734">
        <f>+C49</f>
        <v>4651458788</v>
      </c>
      <c r="D3" s="734">
        <v>3873208450</v>
      </c>
      <c r="E3" s="734">
        <f t="shared" ref="E3:R3" si="0">+D3*1.001</f>
        <v>3877081658.4499998</v>
      </c>
      <c r="F3" s="734">
        <f t="shared" si="0"/>
        <v>3880958740.1084495</v>
      </c>
      <c r="G3" s="734">
        <f t="shared" si="0"/>
        <v>3884839698.8485575</v>
      </c>
      <c r="H3" s="734">
        <f t="shared" si="0"/>
        <v>3888724538.5474057</v>
      </c>
      <c r="I3" s="734">
        <f t="shared" si="0"/>
        <v>3892613263.0859528</v>
      </c>
      <c r="J3" s="734">
        <f t="shared" si="0"/>
        <v>3896505876.3490381</v>
      </c>
      <c r="K3" s="734">
        <f t="shared" si="0"/>
        <v>3900402382.2253866</v>
      </c>
      <c r="L3" s="734">
        <f t="shared" si="0"/>
        <v>3904302784.6076117</v>
      </c>
      <c r="M3" s="734">
        <f t="shared" si="0"/>
        <v>3908207087.3922191</v>
      </c>
      <c r="N3" s="734">
        <f t="shared" si="0"/>
        <v>3912115294.4796109</v>
      </c>
      <c r="O3" s="734">
        <f t="shared" si="0"/>
        <v>3916027409.7740903</v>
      </c>
      <c r="P3" s="734">
        <f t="shared" si="0"/>
        <v>3919943437.1838641</v>
      </c>
      <c r="Q3" s="734">
        <f t="shared" si="0"/>
        <v>3923863380.6210475</v>
      </c>
      <c r="R3" s="734">
        <f t="shared" si="0"/>
        <v>3927787244.001668</v>
      </c>
      <c r="S3" s="734">
        <f>+R3*1.001</f>
        <v>3931715031.2456694</v>
      </c>
      <c r="T3" s="735">
        <f t="shared" ref="T3:T17" si="1">SUM(C3:S3)</f>
        <v>67089755064.920578</v>
      </c>
    </row>
    <row r="4" spans="1:22" s="224" customFormat="1" ht="21" customHeight="1" x14ac:dyDescent="0.2">
      <c r="A4" s="636" t="s">
        <v>4</v>
      </c>
      <c r="B4" s="636" t="s">
        <v>1161</v>
      </c>
      <c r="C4" s="734">
        <f>+C73</f>
        <v>120056589</v>
      </c>
      <c r="D4" s="734">
        <v>162942563</v>
      </c>
      <c r="E4" s="734">
        <f t="shared" ref="E4:S4" si="2">+D4*1.02</f>
        <v>166201414.25999999</v>
      </c>
      <c r="F4" s="734">
        <f t="shared" si="2"/>
        <v>169525442.54519999</v>
      </c>
      <c r="G4" s="734">
        <f t="shared" si="2"/>
        <v>172915951.39610401</v>
      </c>
      <c r="H4" s="734">
        <f t="shared" si="2"/>
        <v>176374270.4240261</v>
      </c>
      <c r="I4" s="734">
        <f t="shared" si="2"/>
        <v>179901755.83250663</v>
      </c>
      <c r="J4" s="734">
        <f t="shared" si="2"/>
        <v>183499790.94915676</v>
      </c>
      <c r="K4" s="734">
        <f t="shared" si="2"/>
        <v>187169786.7681399</v>
      </c>
      <c r="L4" s="734">
        <f t="shared" si="2"/>
        <v>190913182.5035027</v>
      </c>
      <c r="M4" s="734">
        <f t="shared" si="2"/>
        <v>194731446.15357277</v>
      </c>
      <c r="N4" s="734">
        <f t="shared" si="2"/>
        <v>198626075.07664421</v>
      </c>
      <c r="O4" s="734">
        <f t="shared" si="2"/>
        <v>202598596.57817709</v>
      </c>
      <c r="P4" s="734">
        <f t="shared" si="2"/>
        <v>206650568.50974065</v>
      </c>
      <c r="Q4" s="734">
        <f t="shared" si="2"/>
        <v>210783579.87993547</v>
      </c>
      <c r="R4" s="734">
        <f t="shared" si="2"/>
        <v>214999251.47753417</v>
      </c>
      <c r="S4" s="734">
        <f t="shared" si="2"/>
        <v>219299236.50708488</v>
      </c>
      <c r="T4" s="735">
        <f t="shared" si="1"/>
        <v>3157189500.8613253</v>
      </c>
    </row>
    <row r="5" spans="1:22" s="224" customFormat="1" ht="21" customHeight="1" x14ac:dyDescent="0.2">
      <c r="A5" s="636" t="s">
        <v>5</v>
      </c>
      <c r="B5" s="636" t="s">
        <v>1162</v>
      </c>
      <c r="C5" s="734">
        <f>+C63</f>
        <v>16707889</v>
      </c>
      <c r="D5" s="734">
        <v>4000000</v>
      </c>
      <c r="E5" s="734">
        <v>4000000</v>
      </c>
      <c r="F5" s="734">
        <v>4000000</v>
      </c>
      <c r="G5" s="734">
        <v>4000000</v>
      </c>
      <c r="H5" s="734">
        <v>4000000</v>
      </c>
      <c r="I5" s="734">
        <v>4000000</v>
      </c>
      <c r="J5" s="734">
        <v>4000000</v>
      </c>
      <c r="K5" s="734">
        <v>4000000</v>
      </c>
      <c r="L5" s="734">
        <v>4000000</v>
      </c>
      <c r="M5" s="734">
        <v>4000000</v>
      </c>
      <c r="N5" s="734">
        <v>4000000</v>
      </c>
      <c r="O5" s="734">
        <v>4000000</v>
      </c>
      <c r="P5" s="734">
        <v>4000000</v>
      </c>
      <c r="Q5" s="734">
        <v>4000000</v>
      </c>
      <c r="R5" s="734">
        <v>4000000</v>
      </c>
      <c r="S5" s="734">
        <v>4000000</v>
      </c>
      <c r="T5" s="735">
        <f t="shared" si="1"/>
        <v>80707889</v>
      </c>
    </row>
    <row r="6" spans="1:22" s="224" customFormat="1" ht="33.75" customHeight="1" x14ac:dyDescent="0.2">
      <c r="A6" s="636" t="s">
        <v>6</v>
      </c>
      <c r="B6" s="636" t="s">
        <v>1163</v>
      </c>
      <c r="C6" s="734">
        <f>+C65</f>
        <v>741978797</v>
      </c>
      <c r="D6" s="734">
        <v>30000000</v>
      </c>
      <c r="E6" s="734">
        <v>30000000</v>
      </c>
      <c r="F6" s="734">
        <v>30000000</v>
      </c>
      <c r="G6" s="734">
        <v>30000000</v>
      </c>
      <c r="H6" s="734">
        <v>30000000</v>
      </c>
      <c r="I6" s="734">
        <v>30000000</v>
      </c>
      <c r="J6" s="734">
        <v>30000000</v>
      </c>
      <c r="K6" s="734">
        <v>30000000</v>
      </c>
      <c r="L6" s="734">
        <v>30000000</v>
      </c>
      <c r="M6" s="734">
        <v>30000000</v>
      </c>
      <c r="N6" s="734">
        <v>30000000</v>
      </c>
      <c r="O6" s="734">
        <v>30000000</v>
      </c>
      <c r="P6" s="734">
        <v>30000000</v>
      </c>
      <c r="Q6" s="734">
        <v>30000000</v>
      </c>
      <c r="R6" s="734">
        <v>30000000</v>
      </c>
      <c r="S6" s="734">
        <v>30000000</v>
      </c>
      <c r="T6" s="735">
        <f t="shared" si="1"/>
        <v>1221978797</v>
      </c>
    </row>
    <row r="7" spans="1:22" s="224" customFormat="1" ht="21" customHeight="1" x14ac:dyDescent="0.2">
      <c r="A7" s="636" t="s">
        <v>7</v>
      </c>
      <c r="B7" s="636" t="s">
        <v>1164</v>
      </c>
      <c r="C7" s="734">
        <v>0</v>
      </c>
      <c r="D7" s="734">
        <v>0</v>
      </c>
      <c r="E7" s="734">
        <v>0</v>
      </c>
      <c r="F7" s="734">
        <v>0</v>
      </c>
      <c r="G7" s="734">
        <v>0</v>
      </c>
      <c r="H7" s="734">
        <v>0</v>
      </c>
      <c r="I7" s="734">
        <v>0</v>
      </c>
      <c r="J7" s="734">
        <v>0</v>
      </c>
      <c r="K7" s="734">
        <v>0</v>
      </c>
      <c r="L7" s="734">
        <v>0</v>
      </c>
      <c r="M7" s="734">
        <v>0</v>
      </c>
      <c r="N7" s="734">
        <v>0</v>
      </c>
      <c r="O7" s="734">
        <v>0</v>
      </c>
      <c r="P7" s="734">
        <v>0</v>
      </c>
      <c r="Q7" s="734">
        <v>0</v>
      </c>
      <c r="R7" s="734">
        <v>0</v>
      </c>
      <c r="S7" s="734">
        <v>0</v>
      </c>
      <c r="T7" s="735">
        <f t="shared" si="1"/>
        <v>0</v>
      </c>
    </row>
    <row r="8" spans="1:22" s="224" customFormat="1" ht="21" customHeight="1" x14ac:dyDescent="0.2">
      <c r="A8" s="636" t="s">
        <v>8</v>
      </c>
      <c r="B8" s="636" t="s">
        <v>1165</v>
      </c>
      <c r="C8" s="734">
        <v>0</v>
      </c>
      <c r="D8" s="734">
        <v>0</v>
      </c>
      <c r="E8" s="734">
        <v>0</v>
      </c>
      <c r="F8" s="734">
        <v>0</v>
      </c>
      <c r="G8" s="734">
        <v>0</v>
      </c>
      <c r="H8" s="734">
        <v>0</v>
      </c>
      <c r="I8" s="734">
        <v>0</v>
      </c>
      <c r="J8" s="734">
        <v>0</v>
      </c>
      <c r="K8" s="734">
        <v>0</v>
      </c>
      <c r="L8" s="734">
        <v>0</v>
      </c>
      <c r="M8" s="734">
        <v>0</v>
      </c>
      <c r="N8" s="734">
        <v>0</v>
      </c>
      <c r="O8" s="734">
        <v>0</v>
      </c>
      <c r="P8" s="734">
        <v>0</v>
      </c>
      <c r="Q8" s="734">
        <v>0</v>
      </c>
      <c r="R8" s="734">
        <v>0</v>
      </c>
      <c r="S8" s="734">
        <v>0</v>
      </c>
      <c r="T8" s="735">
        <f t="shared" si="1"/>
        <v>0</v>
      </c>
    </row>
    <row r="9" spans="1:22" s="224" customFormat="1" ht="21" customHeight="1" x14ac:dyDescent="0.2">
      <c r="A9" s="636" t="s">
        <v>9</v>
      </c>
      <c r="B9" s="636" t="s">
        <v>1166</v>
      </c>
      <c r="C9" s="734">
        <v>0</v>
      </c>
      <c r="D9" s="734">
        <v>0</v>
      </c>
      <c r="E9" s="734">
        <v>0</v>
      </c>
      <c r="F9" s="734">
        <v>0</v>
      </c>
      <c r="G9" s="734">
        <v>0</v>
      </c>
      <c r="H9" s="734">
        <v>0</v>
      </c>
      <c r="I9" s="734">
        <v>0</v>
      </c>
      <c r="J9" s="734">
        <v>0</v>
      </c>
      <c r="K9" s="734">
        <v>0</v>
      </c>
      <c r="L9" s="734">
        <v>0</v>
      </c>
      <c r="M9" s="734">
        <v>0</v>
      </c>
      <c r="N9" s="734">
        <v>0</v>
      </c>
      <c r="O9" s="734">
        <v>0</v>
      </c>
      <c r="P9" s="734">
        <v>0</v>
      </c>
      <c r="Q9" s="734">
        <v>0</v>
      </c>
      <c r="R9" s="734">
        <v>0</v>
      </c>
      <c r="S9" s="734">
        <v>0</v>
      </c>
      <c r="T9" s="735">
        <f t="shared" si="1"/>
        <v>0</v>
      </c>
    </row>
    <row r="10" spans="1:22" s="224" customFormat="1" ht="21" customHeight="1" x14ac:dyDescent="0.2">
      <c r="A10" s="636" t="s">
        <v>23</v>
      </c>
      <c r="B10" s="637" t="s">
        <v>345</v>
      </c>
      <c r="C10" s="735">
        <f t="shared" ref="C10:S10" si="3">SUM(C3:C9)</f>
        <v>5530202063</v>
      </c>
      <c r="D10" s="735">
        <f t="shared" si="3"/>
        <v>4070151013</v>
      </c>
      <c r="E10" s="735">
        <f t="shared" si="3"/>
        <v>4077283072.71</v>
      </c>
      <c r="F10" s="735">
        <f t="shared" si="3"/>
        <v>4084484182.6536493</v>
      </c>
      <c r="G10" s="735">
        <f t="shared" si="3"/>
        <v>4091755650.2446613</v>
      </c>
      <c r="H10" s="735">
        <f t="shared" si="3"/>
        <v>4099098808.9714317</v>
      </c>
      <c r="I10" s="735">
        <f t="shared" si="3"/>
        <v>4106515018.9184594</v>
      </c>
      <c r="J10" s="735">
        <f t="shared" si="3"/>
        <v>4114005667.2981949</v>
      </c>
      <c r="K10" s="735">
        <f t="shared" si="3"/>
        <v>4121572168.9935265</v>
      </c>
      <c r="L10" s="735">
        <f t="shared" si="3"/>
        <v>4129215967.1111145</v>
      </c>
      <c r="M10" s="735">
        <f t="shared" si="3"/>
        <v>4136938533.5457916</v>
      </c>
      <c r="N10" s="735">
        <f t="shared" si="3"/>
        <v>4144741369.5562553</v>
      </c>
      <c r="O10" s="735">
        <f t="shared" si="3"/>
        <v>4152626006.3522673</v>
      </c>
      <c r="P10" s="735">
        <f t="shared" si="3"/>
        <v>4160594005.6936049</v>
      </c>
      <c r="Q10" s="735">
        <f t="shared" si="3"/>
        <v>4168646960.5009828</v>
      </c>
      <c r="R10" s="735">
        <f t="shared" si="3"/>
        <v>4176786495.4792023</v>
      </c>
      <c r="S10" s="735">
        <f t="shared" si="3"/>
        <v>4185014267.7527542</v>
      </c>
      <c r="T10" s="735">
        <f t="shared" si="1"/>
        <v>71549631251.781891</v>
      </c>
    </row>
    <row r="11" spans="1:22" s="224" customFormat="1" ht="21" customHeight="1" x14ac:dyDescent="0.2">
      <c r="A11" s="636" t="s">
        <v>25</v>
      </c>
      <c r="B11" s="637" t="s">
        <v>346</v>
      </c>
      <c r="C11" s="735">
        <f t="shared" ref="C11:S11" si="4">C10*0.5</f>
        <v>2765101031.5</v>
      </c>
      <c r="D11" s="735">
        <f t="shared" si="4"/>
        <v>2035075506.5</v>
      </c>
      <c r="E11" s="735">
        <f t="shared" si="4"/>
        <v>2038641536.355</v>
      </c>
      <c r="F11" s="735">
        <f t="shared" si="4"/>
        <v>2042242091.3268247</v>
      </c>
      <c r="G11" s="735">
        <f t="shared" si="4"/>
        <v>2045877825.1223307</v>
      </c>
      <c r="H11" s="735">
        <f t="shared" si="4"/>
        <v>2049549404.4857159</v>
      </c>
      <c r="I11" s="735">
        <f t="shared" si="4"/>
        <v>2053257509.4592297</v>
      </c>
      <c r="J11" s="735">
        <f t="shared" si="4"/>
        <v>2057002833.6490974</v>
      </c>
      <c r="K11" s="735">
        <f t="shared" si="4"/>
        <v>2060786084.4967632</v>
      </c>
      <c r="L11" s="735">
        <f t="shared" si="4"/>
        <v>2064607983.5555573</v>
      </c>
      <c r="M11" s="735">
        <f t="shared" si="4"/>
        <v>2068469266.7728958</v>
      </c>
      <c r="N11" s="735">
        <f t="shared" si="4"/>
        <v>2072370684.7781277</v>
      </c>
      <c r="O11" s="735">
        <f t="shared" si="4"/>
        <v>2076313003.1761336</v>
      </c>
      <c r="P11" s="735">
        <f t="shared" si="4"/>
        <v>2080297002.8468025</v>
      </c>
      <c r="Q11" s="735">
        <f t="shared" si="4"/>
        <v>2084323480.2504914</v>
      </c>
      <c r="R11" s="735">
        <f t="shared" si="4"/>
        <v>2088393247.7396011</v>
      </c>
      <c r="S11" s="735">
        <f t="shared" si="4"/>
        <v>2092507133.8763771</v>
      </c>
      <c r="T11" s="735">
        <f t="shared" si="1"/>
        <v>35774815625.890945</v>
      </c>
    </row>
    <row r="12" spans="1:22" s="224" customFormat="1" ht="30" x14ac:dyDescent="0.2">
      <c r="A12" s="636" t="s">
        <v>27</v>
      </c>
      <c r="B12" s="637" t="s">
        <v>347</v>
      </c>
      <c r="C12" s="735">
        <f t="shared" ref="C12:S12" si="5">C13+C22+C23+C24+C25+C26+C27+C28</f>
        <v>52372306</v>
      </c>
      <c r="D12" s="735">
        <f t="shared" si="5"/>
        <v>49846659</v>
      </c>
      <c r="E12" s="735">
        <f t="shared" si="5"/>
        <v>48437528</v>
      </c>
      <c r="F12" s="735">
        <f t="shared" si="5"/>
        <v>47028396</v>
      </c>
      <c r="G12" s="735">
        <f>G13+G22+G23+G24+G25+G26+G27+G28</f>
        <v>45619265</v>
      </c>
      <c r="H12" s="735">
        <f t="shared" si="5"/>
        <v>44210134</v>
      </c>
      <c r="I12" s="735">
        <f t="shared" si="5"/>
        <v>42801003</v>
      </c>
      <c r="J12" s="735">
        <f t="shared" si="5"/>
        <v>41391872</v>
      </c>
      <c r="K12" s="735">
        <f t="shared" si="5"/>
        <v>39982740</v>
      </c>
      <c r="L12" s="735">
        <f t="shared" si="5"/>
        <v>38573609</v>
      </c>
      <c r="M12" s="735">
        <f t="shared" si="5"/>
        <v>37164478</v>
      </c>
      <c r="N12" s="735">
        <f t="shared" si="5"/>
        <v>35755347</v>
      </c>
      <c r="O12" s="735">
        <f t="shared" si="5"/>
        <v>34346216</v>
      </c>
      <c r="P12" s="735">
        <f t="shared" si="5"/>
        <v>32937084</v>
      </c>
      <c r="Q12" s="735">
        <f t="shared" si="5"/>
        <v>31527953</v>
      </c>
      <c r="R12" s="735">
        <f t="shared" si="5"/>
        <v>30118821</v>
      </c>
      <c r="S12" s="735">
        <f t="shared" si="5"/>
        <v>21680822</v>
      </c>
      <c r="T12" s="735">
        <f t="shared" si="1"/>
        <v>673794233</v>
      </c>
    </row>
    <row r="13" spans="1:22" ht="21" customHeight="1" x14ac:dyDescent="0.2">
      <c r="A13" s="636" t="s">
        <v>30</v>
      </c>
      <c r="B13" s="636" t="s">
        <v>348</v>
      </c>
      <c r="C13" s="734">
        <f t="shared" ref="C13:S13" si="6">+C14+C18</f>
        <v>52372306</v>
      </c>
      <c r="D13" s="734">
        <f t="shared" si="6"/>
        <v>49846659</v>
      </c>
      <c r="E13" s="734">
        <f t="shared" si="6"/>
        <v>48437528</v>
      </c>
      <c r="F13" s="734">
        <f t="shared" si="6"/>
        <v>47028396</v>
      </c>
      <c r="G13" s="734">
        <f t="shared" si="6"/>
        <v>45619265</v>
      </c>
      <c r="H13" s="734">
        <f t="shared" si="6"/>
        <v>44210134</v>
      </c>
      <c r="I13" s="734">
        <f t="shared" si="6"/>
        <v>42801003</v>
      </c>
      <c r="J13" s="734">
        <f t="shared" si="6"/>
        <v>41391872</v>
      </c>
      <c r="K13" s="734">
        <f t="shared" si="6"/>
        <v>39982740</v>
      </c>
      <c r="L13" s="734">
        <f t="shared" si="6"/>
        <v>38573609</v>
      </c>
      <c r="M13" s="734">
        <f t="shared" si="6"/>
        <v>37164478</v>
      </c>
      <c r="N13" s="734">
        <f t="shared" si="6"/>
        <v>35755347</v>
      </c>
      <c r="O13" s="734">
        <f t="shared" si="6"/>
        <v>34346216</v>
      </c>
      <c r="P13" s="734">
        <f t="shared" si="6"/>
        <v>32937084</v>
      </c>
      <c r="Q13" s="734">
        <f t="shared" si="6"/>
        <v>31527953</v>
      </c>
      <c r="R13" s="734">
        <f t="shared" si="6"/>
        <v>30118821</v>
      </c>
      <c r="S13" s="734">
        <f t="shared" si="6"/>
        <v>21680822</v>
      </c>
      <c r="T13" s="735">
        <f t="shared" si="1"/>
        <v>673794233</v>
      </c>
    </row>
    <row r="14" spans="1:22" ht="21" customHeight="1" x14ac:dyDescent="0.2">
      <c r="A14" s="636" t="s">
        <v>32</v>
      </c>
      <c r="B14" s="636" t="s">
        <v>349</v>
      </c>
      <c r="C14" s="734">
        <f t="shared" ref="C14:S14" si="7">+C15+C16+C17</f>
        <v>28182624</v>
      </c>
      <c r="D14" s="734">
        <f t="shared" si="7"/>
        <v>28182624</v>
      </c>
      <c r="E14" s="734">
        <f t="shared" si="7"/>
        <v>28182624</v>
      </c>
      <c r="F14" s="734">
        <f t="shared" si="7"/>
        <v>28182624</v>
      </c>
      <c r="G14" s="734">
        <f t="shared" si="7"/>
        <v>28182624</v>
      </c>
      <c r="H14" s="734">
        <f t="shared" si="7"/>
        <v>28182624</v>
      </c>
      <c r="I14" s="734">
        <f t="shared" si="7"/>
        <v>28182624</v>
      </c>
      <c r="J14" s="734">
        <f t="shared" si="7"/>
        <v>28182624</v>
      </c>
      <c r="K14" s="734">
        <f t="shared" si="7"/>
        <v>28182624</v>
      </c>
      <c r="L14" s="734">
        <f t="shared" si="7"/>
        <v>28182624</v>
      </c>
      <c r="M14" s="734">
        <f t="shared" si="7"/>
        <v>28182624</v>
      </c>
      <c r="N14" s="734">
        <f t="shared" si="7"/>
        <v>28182624</v>
      </c>
      <c r="O14" s="734">
        <f t="shared" si="7"/>
        <v>28182624</v>
      </c>
      <c r="P14" s="734">
        <f t="shared" si="7"/>
        <v>28182624</v>
      </c>
      <c r="Q14" s="734">
        <f t="shared" si="7"/>
        <v>28182624</v>
      </c>
      <c r="R14" s="734">
        <f t="shared" si="7"/>
        <v>28182624</v>
      </c>
      <c r="S14" s="734">
        <f t="shared" si="7"/>
        <v>21109809</v>
      </c>
      <c r="T14" s="735">
        <f t="shared" si="1"/>
        <v>472031793</v>
      </c>
    </row>
    <row r="15" spans="1:22" ht="15.75" customHeight="1" x14ac:dyDescent="0.2">
      <c r="A15" s="636" t="s">
        <v>350</v>
      </c>
      <c r="B15" s="636" t="s">
        <v>351</v>
      </c>
      <c r="C15" s="734">
        <v>9743592</v>
      </c>
      <c r="D15" s="734">
        <v>9743592</v>
      </c>
      <c r="E15" s="734">
        <v>9743592</v>
      </c>
      <c r="F15" s="734">
        <v>9743592</v>
      </c>
      <c r="G15" s="734">
        <v>9743592</v>
      </c>
      <c r="H15" s="734">
        <v>9743592</v>
      </c>
      <c r="I15" s="734">
        <v>9743592</v>
      </c>
      <c r="J15" s="734">
        <v>9743592</v>
      </c>
      <c r="K15" s="734">
        <v>9743592</v>
      </c>
      <c r="L15" s="734">
        <v>9743592</v>
      </c>
      <c r="M15" s="734">
        <v>9743592</v>
      </c>
      <c r="N15" s="734">
        <v>9743592</v>
      </c>
      <c r="O15" s="734">
        <v>9743592</v>
      </c>
      <c r="P15" s="734">
        <v>9743592</v>
      </c>
      <c r="Q15" s="734">
        <v>9743592</v>
      </c>
      <c r="R15" s="734">
        <v>9743592</v>
      </c>
      <c r="S15" s="734">
        <v>9743629</v>
      </c>
      <c r="T15" s="735">
        <f t="shared" si="1"/>
        <v>165641101</v>
      </c>
      <c r="U15" s="736">
        <f>+'[1]5.sz.tájék.táb Adósságszolgálat'!C24+'[1]5.sz.tájék.táb Adósságszolgálat'!C25+'[1]5.sz.tájék.táb Adósságszolgálat'!C26+'[1]5.sz.tájék.táb Adósságszolgálat'!C27+'[1]5.sz.tájék.táb Adósságszolgálat'!C28+'[1]5.sz.tájék.táb Adósságszolgálat'!C29+'[1]5.sz.tájék.táb Adósságszolgálat'!C30+'[1]5.sz.tájék.táb Adósságszolgálat'!C31+'[1]5.sz.tájék.táb Adósságszolgálat'!C32+'[1]5.sz.tájék.táb Adósságszolgálat'!C33+'[1]5.sz.tájék.táb Adósságszolgálat'!C34+'[1]5.sz.tájék.táb Adósságszolgálat'!C35+'[1]5.sz.tájék.táb Adósságszolgálat'!C36+'[1]5.sz.tájék.táb Adósságszolgálat'!C37+'[1]5.sz.tájék.táb Adósságszolgálat'!C38+'[1]5.sz.tájék.táb Adósságszolgálat'!C39+'[1]5.sz.tájék.táb Adósságszolgálat'!C40+'[1]5.sz.tájék.táb Adósságszolgálat'!C41</f>
        <v>175384693</v>
      </c>
      <c r="V15" s="225">
        <f t="shared" ref="V15:V21" si="8">SUM(C15:S15)</f>
        <v>165641101</v>
      </c>
    </row>
    <row r="16" spans="1:22" ht="30" x14ac:dyDescent="0.2">
      <c r="A16" s="636" t="s">
        <v>352</v>
      </c>
      <c r="B16" s="636" t="s">
        <v>353</v>
      </c>
      <c r="C16" s="734">
        <v>4376000</v>
      </c>
      <c r="D16" s="734">
        <v>4376000</v>
      </c>
      <c r="E16" s="734">
        <v>4376000</v>
      </c>
      <c r="F16" s="734">
        <v>4376000</v>
      </c>
      <c r="G16" s="734">
        <v>4376000</v>
      </c>
      <c r="H16" s="734">
        <v>4376000</v>
      </c>
      <c r="I16" s="734">
        <v>4376000</v>
      </c>
      <c r="J16" s="734">
        <v>4376000</v>
      </c>
      <c r="K16" s="734">
        <v>4376000</v>
      </c>
      <c r="L16" s="734">
        <v>4376000</v>
      </c>
      <c r="M16" s="734">
        <v>4376000</v>
      </c>
      <c r="N16" s="734">
        <v>4376000</v>
      </c>
      <c r="O16" s="734">
        <v>4376000</v>
      </c>
      <c r="P16" s="734">
        <v>4376000</v>
      </c>
      <c r="Q16" s="734">
        <v>4376000</v>
      </c>
      <c r="R16" s="734">
        <v>4376000</v>
      </c>
      <c r="S16" s="734">
        <v>4334633</v>
      </c>
      <c r="T16" s="735">
        <f t="shared" si="1"/>
        <v>74350633</v>
      </c>
      <c r="U16" s="736">
        <f>+'[1]5.sz.tájék.táb Adósságszolgálat'!D24+'[1]5.sz.tájék.táb Adósságszolgálat'!D25+'[1]5.sz.tájék.táb Adósságszolgálat'!D26+'[1]5.sz.tájék.táb Adósságszolgálat'!D27+'[1]5.sz.tájék.táb Adósságszolgálat'!D28+'[1]5.sz.tájék.táb Adósságszolgálat'!D29+'[1]5.sz.tájék.táb Adósságszolgálat'!D30+'[1]5.sz.tájék.táb Adósságszolgálat'!D31+'[1]5.sz.tájék.táb Adósságszolgálat'!D32+'[1]5.sz.tájék.táb Adósságszolgálat'!D33+'[1]5.sz.tájék.táb Adósságszolgálat'!D34+'[1]5.sz.tájék.táb Adósságszolgálat'!D35+'[1]5.sz.tájék.táb Adósságszolgálat'!D36+'[1]5.sz.tájék.táb Adósságszolgálat'!D37+'[1]5.sz.tájék.táb Adósságszolgálat'!D38+'[1]5.sz.tájék.táb Adósságszolgálat'!D39+'[1]5.sz.tájék.táb Adósságszolgálat'!D40+'[1]5.sz.tájék.táb Adósságszolgálat'!D41</f>
        <v>78726633</v>
      </c>
      <c r="V16" s="225">
        <f t="shared" si="8"/>
        <v>74350633</v>
      </c>
    </row>
    <row r="17" spans="1:22" ht="17.25" customHeight="1" x14ac:dyDescent="0.2">
      <c r="A17" s="636" t="s">
        <v>354</v>
      </c>
      <c r="B17" s="636" t="s">
        <v>355</v>
      </c>
      <c r="C17" s="734">
        <v>14063032</v>
      </c>
      <c r="D17" s="734">
        <v>14063032</v>
      </c>
      <c r="E17" s="734">
        <v>14063032</v>
      </c>
      <c r="F17" s="734">
        <v>14063032</v>
      </c>
      <c r="G17" s="734">
        <v>14063032</v>
      </c>
      <c r="H17" s="734">
        <v>14063032</v>
      </c>
      <c r="I17" s="734">
        <v>14063032</v>
      </c>
      <c r="J17" s="734">
        <v>14063032</v>
      </c>
      <c r="K17" s="734">
        <v>14063032</v>
      </c>
      <c r="L17" s="734">
        <v>14063032</v>
      </c>
      <c r="M17" s="734">
        <v>14063032</v>
      </c>
      <c r="N17" s="734">
        <v>14063032</v>
      </c>
      <c r="O17" s="734">
        <v>14063032</v>
      </c>
      <c r="P17" s="734">
        <v>14063032</v>
      </c>
      <c r="Q17" s="734">
        <v>14063032</v>
      </c>
      <c r="R17" s="734">
        <v>14063032</v>
      </c>
      <c r="S17" s="734">
        <v>7031547</v>
      </c>
      <c r="T17" s="735">
        <f t="shared" si="1"/>
        <v>232040059</v>
      </c>
      <c r="U17" s="736">
        <f>+'[1]5.sz.tájék.táb Adósságszolgálat'!B24+'[1]5.sz.tájék.táb Adósságszolgálat'!B25+'[1]5.sz.tájék.táb Adósságszolgálat'!B26+'[1]5.sz.tájék.táb Adósságszolgálat'!B27+'[1]5.sz.tájék.táb Adósságszolgálat'!B28+'[1]5.sz.tájék.táb Adósságszolgálat'!B29+'[1]5.sz.tájék.táb Adósságszolgálat'!B30+'[1]5.sz.tájék.táb Adósságszolgálat'!B31+'[1]5.sz.tájék.táb Adósságszolgálat'!B32+'[1]5.sz.tájék.táb Adósságszolgálat'!B33+'[1]5.sz.tájék.táb Adósságszolgálat'!B34+'[1]5.sz.tájék.táb Adósságszolgálat'!B35+'[1]5.sz.tájék.táb Adósságszolgálat'!B36+'[1]5.sz.tájék.táb Adósságszolgálat'!B37+'[1]5.sz.tájék.táb Adósságszolgálat'!B38+'[1]5.sz.tájék.táb Adósságszolgálat'!B39+'[1]5.sz.tájék.táb Adósságszolgálat'!B40+'[1]5.sz.tájék.táb Adósságszolgálat'!B41</f>
        <v>246103091</v>
      </c>
      <c r="V17" s="225">
        <f t="shared" si="8"/>
        <v>232040059</v>
      </c>
    </row>
    <row r="18" spans="1:22" ht="15.75" customHeight="1" x14ac:dyDescent="0.2">
      <c r="A18" s="636" t="s">
        <v>33</v>
      </c>
      <c r="B18" s="636" t="s">
        <v>356</v>
      </c>
      <c r="C18" s="734">
        <f t="shared" ref="C18:T18" si="9">SUM(C19:C21)</f>
        <v>24189682</v>
      </c>
      <c r="D18" s="734">
        <f t="shared" si="9"/>
        <v>21664035</v>
      </c>
      <c r="E18" s="734">
        <f t="shared" si="9"/>
        <v>20254904</v>
      </c>
      <c r="F18" s="734">
        <f t="shared" si="9"/>
        <v>18845772</v>
      </c>
      <c r="G18" s="734">
        <f t="shared" si="9"/>
        <v>17436641</v>
      </c>
      <c r="H18" s="734">
        <f t="shared" si="9"/>
        <v>16027510</v>
      </c>
      <c r="I18" s="734">
        <f t="shared" si="9"/>
        <v>14618379</v>
      </c>
      <c r="J18" s="734">
        <f>SUM(J19:J21)</f>
        <v>13209248</v>
      </c>
      <c r="K18" s="734">
        <f t="shared" si="9"/>
        <v>11800116</v>
      </c>
      <c r="L18" s="734">
        <f t="shared" si="9"/>
        <v>10390985</v>
      </c>
      <c r="M18" s="734">
        <f t="shared" si="9"/>
        <v>8981854</v>
      </c>
      <c r="N18" s="734">
        <f t="shared" si="9"/>
        <v>7572723</v>
      </c>
      <c r="O18" s="734">
        <f t="shared" si="9"/>
        <v>6163592</v>
      </c>
      <c r="P18" s="734">
        <f t="shared" si="9"/>
        <v>4754460</v>
      </c>
      <c r="Q18" s="734">
        <f t="shared" si="9"/>
        <v>3345329</v>
      </c>
      <c r="R18" s="734">
        <f t="shared" si="9"/>
        <v>1936197</v>
      </c>
      <c r="S18" s="734">
        <f t="shared" si="9"/>
        <v>571013</v>
      </c>
      <c r="T18" s="735">
        <f t="shared" si="9"/>
        <v>201762440</v>
      </c>
      <c r="V18" s="225">
        <f t="shared" si="8"/>
        <v>201762440</v>
      </c>
    </row>
    <row r="19" spans="1:22" ht="17.25" customHeight="1" x14ac:dyDescent="0.2">
      <c r="A19" s="636" t="s">
        <v>357</v>
      </c>
      <c r="B19" s="636" t="s">
        <v>351</v>
      </c>
      <c r="C19" s="734">
        <v>8512448</v>
      </c>
      <c r="D19" s="734">
        <v>7612183</v>
      </c>
      <c r="E19" s="734">
        <v>7125004</v>
      </c>
      <c r="F19" s="734">
        <v>6637824</v>
      </c>
      <c r="G19" s="734">
        <v>6150644</v>
      </c>
      <c r="H19" s="734">
        <v>5663465</v>
      </c>
      <c r="I19" s="734">
        <v>5176285</v>
      </c>
      <c r="J19" s="734">
        <v>4689106</v>
      </c>
      <c r="K19" s="734">
        <v>4201926</v>
      </c>
      <c r="L19" s="734">
        <v>3714746</v>
      </c>
      <c r="M19" s="734">
        <v>3227567</v>
      </c>
      <c r="N19" s="734">
        <v>2740387</v>
      </c>
      <c r="O19" s="734">
        <v>2253208</v>
      </c>
      <c r="P19" s="734">
        <v>1766028</v>
      </c>
      <c r="Q19" s="734">
        <v>1278848</v>
      </c>
      <c r="R19" s="734">
        <v>791669</v>
      </c>
      <c r="S19" s="734">
        <v>304489</v>
      </c>
      <c r="T19" s="735">
        <f t="shared" ref="T19:T31" si="10">SUM(C19:S19)</f>
        <v>71845827</v>
      </c>
      <c r="V19" s="225">
        <f t="shared" si="8"/>
        <v>71845827</v>
      </c>
    </row>
    <row r="20" spans="1:22" ht="30" x14ac:dyDescent="0.2">
      <c r="A20" s="636" t="s">
        <v>358</v>
      </c>
      <c r="B20" s="636" t="s">
        <v>353</v>
      </c>
      <c r="C20" s="734">
        <v>3820895</v>
      </c>
      <c r="D20" s="734">
        <v>3416682</v>
      </c>
      <c r="E20" s="734">
        <v>3197882</v>
      </c>
      <c r="F20" s="734">
        <v>2979082</v>
      </c>
      <c r="G20" s="734">
        <v>2760282</v>
      </c>
      <c r="H20" s="734">
        <v>2541482</v>
      </c>
      <c r="I20" s="734">
        <v>2322682</v>
      </c>
      <c r="J20" s="734">
        <v>2103882</v>
      </c>
      <c r="K20" s="734">
        <v>1885082</v>
      </c>
      <c r="L20" s="734">
        <v>1666282</v>
      </c>
      <c r="M20" s="734">
        <v>1447482</v>
      </c>
      <c r="N20" s="734">
        <v>1228682</v>
      </c>
      <c r="O20" s="734">
        <v>1009882</v>
      </c>
      <c r="P20" s="734">
        <v>791082</v>
      </c>
      <c r="Q20" s="734">
        <v>572282</v>
      </c>
      <c r="R20" s="734">
        <v>353482</v>
      </c>
      <c r="S20" s="221">
        <v>134682</v>
      </c>
      <c r="T20" s="735">
        <f t="shared" si="10"/>
        <v>32231807</v>
      </c>
      <c r="V20" s="225">
        <f t="shared" si="8"/>
        <v>32231807</v>
      </c>
    </row>
    <row r="21" spans="1:22" ht="15" x14ac:dyDescent="0.2">
      <c r="A21" s="636" t="s">
        <v>359</v>
      </c>
      <c r="B21" s="636" t="s">
        <v>355</v>
      </c>
      <c r="C21" s="734">
        <v>11856339</v>
      </c>
      <c r="D21" s="734">
        <v>10635170</v>
      </c>
      <c r="E21" s="734">
        <v>9932018</v>
      </c>
      <c r="F21" s="734">
        <v>9228866</v>
      </c>
      <c r="G21" s="734">
        <v>8525715</v>
      </c>
      <c r="H21" s="734">
        <v>7822563</v>
      </c>
      <c r="I21" s="734">
        <v>7119412</v>
      </c>
      <c r="J21" s="734">
        <v>6416260</v>
      </c>
      <c r="K21" s="734">
        <v>5713108</v>
      </c>
      <c r="L21" s="734">
        <v>5009957</v>
      </c>
      <c r="M21" s="734">
        <v>4306805</v>
      </c>
      <c r="N21" s="734">
        <v>3603654</v>
      </c>
      <c r="O21" s="734">
        <v>2900502</v>
      </c>
      <c r="P21" s="734">
        <v>2197350</v>
      </c>
      <c r="Q21" s="734">
        <v>1494199</v>
      </c>
      <c r="R21" s="734">
        <v>791046</v>
      </c>
      <c r="S21" s="734">
        <v>131842</v>
      </c>
      <c r="T21" s="735">
        <f t="shared" si="10"/>
        <v>97684806</v>
      </c>
      <c r="V21" s="225">
        <f t="shared" si="8"/>
        <v>97684806</v>
      </c>
    </row>
    <row r="22" spans="1:22" ht="20.25" customHeight="1" x14ac:dyDescent="0.2">
      <c r="A22" s="636" t="s">
        <v>34</v>
      </c>
      <c r="B22" s="636" t="s">
        <v>360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5">
        <f t="shared" si="10"/>
        <v>0</v>
      </c>
    </row>
    <row r="23" spans="1:22" ht="21" customHeight="1" x14ac:dyDescent="0.2">
      <c r="A23" s="636" t="s">
        <v>35</v>
      </c>
      <c r="B23" s="636" t="s">
        <v>361</v>
      </c>
      <c r="C23" s="734"/>
      <c r="D23" s="734"/>
      <c r="E23" s="734"/>
      <c r="F23" s="734"/>
      <c r="G23" s="734"/>
      <c r="H23" s="734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5">
        <f t="shared" si="10"/>
        <v>0</v>
      </c>
    </row>
    <row r="24" spans="1:22" ht="21" customHeight="1" x14ac:dyDescent="0.2">
      <c r="A24" s="636" t="s">
        <v>37</v>
      </c>
      <c r="B24" s="636" t="s">
        <v>362</v>
      </c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5">
        <f t="shared" si="10"/>
        <v>0</v>
      </c>
    </row>
    <row r="25" spans="1:22" ht="20.25" customHeight="1" x14ac:dyDescent="0.2">
      <c r="A25" s="636" t="s">
        <v>47</v>
      </c>
      <c r="B25" s="636" t="s">
        <v>363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5">
        <f t="shared" si="10"/>
        <v>0</v>
      </c>
    </row>
    <row r="26" spans="1:22" ht="20.25" customHeight="1" x14ac:dyDescent="0.2">
      <c r="A26" s="636" t="s">
        <v>49</v>
      </c>
      <c r="B26" s="636" t="s">
        <v>364</v>
      </c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5">
        <f t="shared" si="10"/>
        <v>0</v>
      </c>
    </row>
    <row r="27" spans="1:22" ht="22.5" customHeight="1" x14ac:dyDescent="0.2">
      <c r="A27" s="636" t="s">
        <v>66</v>
      </c>
      <c r="B27" s="636" t="s">
        <v>365</v>
      </c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5">
        <f t="shared" si="10"/>
        <v>0</v>
      </c>
    </row>
    <row r="28" spans="1:22" ht="22.5" customHeight="1" x14ac:dyDescent="0.2">
      <c r="A28" s="636" t="s">
        <v>67</v>
      </c>
      <c r="B28" s="636" t="s">
        <v>366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5">
        <f t="shared" si="10"/>
        <v>0</v>
      </c>
    </row>
    <row r="29" spans="1:22" ht="30" x14ac:dyDescent="0.2">
      <c r="A29" s="636" t="s">
        <v>68</v>
      </c>
      <c r="B29" s="637" t="s">
        <v>367</v>
      </c>
      <c r="C29" s="735">
        <f t="shared" ref="C29:S29" si="11">C30+C39+C40+C41+C42+C43+C44+C45</f>
        <v>0</v>
      </c>
      <c r="D29" s="735">
        <f t="shared" si="11"/>
        <v>0</v>
      </c>
      <c r="E29" s="735">
        <f t="shared" si="11"/>
        <v>0</v>
      </c>
      <c r="F29" s="735">
        <f t="shared" si="11"/>
        <v>0</v>
      </c>
      <c r="G29" s="735">
        <f t="shared" si="11"/>
        <v>0</v>
      </c>
      <c r="H29" s="735">
        <f t="shared" si="11"/>
        <v>0</v>
      </c>
      <c r="I29" s="735">
        <f t="shared" si="11"/>
        <v>0</v>
      </c>
      <c r="J29" s="735">
        <f t="shared" si="11"/>
        <v>0</v>
      </c>
      <c r="K29" s="735">
        <f t="shared" si="11"/>
        <v>0</v>
      </c>
      <c r="L29" s="735">
        <f t="shared" si="11"/>
        <v>0</v>
      </c>
      <c r="M29" s="735">
        <f t="shared" si="11"/>
        <v>0</v>
      </c>
      <c r="N29" s="735">
        <f t="shared" si="11"/>
        <v>0</v>
      </c>
      <c r="O29" s="735">
        <f t="shared" si="11"/>
        <v>0</v>
      </c>
      <c r="P29" s="735">
        <f t="shared" si="11"/>
        <v>0</v>
      </c>
      <c r="Q29" s="735">
        <f t="shared" si="11"/>
        <v>0</v>
      </c>
      <c r="R29" s="735">
        <f t="shared" si="11"/>
        <v>0</v>
      </c>
      <c r="S29" s="735">
        <f t="shared" si="11"/>
        <v>0</v>
      </c>
      <c r="T29" s="735">
        <f t="shared" si="10"/>
        <v>0</v>
      </c>
    </row>
    <row r="30" spans="1:22" ht="18.75" customHeight="1" x14ac:dyDescent="0.2">
      <c r="A30" s="636" t="s">
        <v>69</v>
      </c>
      <c r="B30" s="636" t="s">
        <v>368</v>
      </c>
      <c r="C30" s="734">
        <f t="shared" ref="C30:S30" si="12">SUM(C31:C35)</f>
        <v>0</v>
      </c>
      <c r="D30" s="734">
        <f t="shared" si="12"/>
        <v>0</v>
      </c>
      <c r="E30" s="734">
        <f t="shared" si="12"/>
        <v>0</v>
      </c>
      <c r="F30" s="734">
        <f t="shared" si="12"/>
        <v>0</v>
      </c>
      <c r="G30" s="734">
        <f t="shared" si="12"/>
        <v>0</v>
      </c>
      <c r="H30" s="734">
        <f t="shared" si="12"/>
        <v>0</v>
      </c>
      <c r="I30" s="734">
        <f t="shared" si="12"/>
        <v>0</v>
      </c>
      <c r="J30" s="734">
        <f t="shared" si="12"/>
        <v>0</v>
      </c>
      <c r="K30" s="734">
        <f t="shared" si="12"/>
        <v>0</v>
      </c>
      <c r="L30" s="734">
        <f t="shared" si="12"/>
        <v>0</v>
      </c>
      <c r="M30" s="734">
        <f t="shared" si="12"/>
        <v>0</v>
      </c>
      <c r="N30" s="734">
        <f t="shared" si="12"/>
        <v>0</v>
      </c>
      <c r="O30" s="734">
        <f t="shared" si="12"/>
        <v>0</v>
      </c>
      <c r="P30" s="734">
        <f t="shared" si="12"/>
        <v>0</v>
      </c>
      <c r="Q30" s="734">
        <f t="shared" si="12"/>
        <v>0</v>
      </c>
      <c r="R30" s="734">
        <f t="shared" si="12"/>
        <v>0</v>
      </c>
      <c r="S30" s="734">
        <f t="shared" si="12"/>
        <v>0</v>
      </c>
      <c r="T30" s="735">
        <f t="shared" si="10"/>
        <v>0</v>
      </c>
    </row>
    <row r="31" spans="1:22" ht="18.75" customHeight="1" x14ac:dyDescent="0.2">
      <c r="A31" s="636" t="s">
        <v>70</v>
      </c>
      <c r="B31" s="636" t="s">
        <v>369</v>
      </c>
      <c r="C31" s="734">
        <f t="shared" ref="C31:S31" si="13">+C32+C33+C34</f>
        <v>0</v>
      </c>
      <c r="D31" s="734">
        <f t="shared" si="13"/>
        <v>0</v>
      </c>
      <c r="E31" s="734">
        <f t="shared" si="13"/>
        <v>0</v>
      </c>
      <c r="F31" s="734">
        <f t="shared" si="13"/>
        <v>0</v>
      </c>
      <c r="G31" s="734">
        <f t="shared" si="13"/>
        <v>0</v>
      </c>
      <c r="H31" s="734">
        <f t="shared" si="13"/>
        <v>0</v>
      </c>
      <c r="I31" s="734">
        <f t="shared" si="13"/>
        <v>0</v>
      </c>
      <c r="J31" s="734">
        <f t="shared" si="13"/>
        <v>0</v>
      </c>
      <c r="K31" s="734">
        <f t="shared" si="13"/>
        <v>0</v>
      </c>
      <c r="L31" s="734">
        <f t="shared" si="13"/>
        <v>0</v>
      </c>
      <c r="M31" s="734">
        <f t="shared" si="13"/>
        <v>0</v>
      </c>
      <c r="N31" s="734">
        <f t="shared" si="13"/>
        <v>0</v>
      </c>
      <c r="O31" s="734">
        <f t="shared" si="13"/>
        <v>0</v>
      </c>
      <c r="P31" s="734">
        <f t="shared" si="13"/>
        <v>0</v>
      </c>
      <c r="Q31" s="734">
        <f t="shared" si="13"/>
        <v>0</v>
      </c>
      <c r="R31" s="734">
        <f t="shared" si="13"/>
        <v>0</v>
      </c>
      <c r="S31" s="734">
        <f t="shared" si="13"/>
        <v>0</v>
      </c>
      <c r="T31" s="735">
        <f t="shared" si="10"/>
        <v>0</v>
      </c>
    </row>
    <row r="32" spans="1:22" ht="19.5" customHeight="1" x14ac:dyDescent="0.2">
      <c r="A32" s="636" t="s">
        <v>370</v>
      </c>
      <c r="B32" s="636" t="s">
        <v>351</v>
      </c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5"/>
    </row>
    <row r="33" spans="1:23" ht="30" x14ac:dyDescent="0.2">
      <c r="A33" s="636" t="s">
        <v>371</v>
      </c>
      <c r="B33" s="636" t="s">
        <v>353</v>
      </c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5"/>
    </row>
    <row r="34" spans="1:23" ht="18" customHeight="1" x14ac:dyDescent="0.2">
      <c r="A34" s="636" t="s">
        <v>372</v>
      </c>
      <c r="B34" s="636" t="s">
        <v>355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5"/>
    </row>
    <row r="35" spans="1:23" ht="18" customHeight="1" x14ac:dyDescent="0.2">
      <c r="A35" s="636" t="s">
        <v>71</v>
      </c>
      <c r="B35" s="636" t="s">
        <v>373</v>
      </c>
      <c r="C35" s="734">
        <f t="shared" ref="C35:S35" si="14">+C36+C37+C38</f>
        <v>0</v>
      </c>
      <c r="D35" s="734">
        <f t="shared" si="14"/>
        <v>0</v>
      </c>
      <c r="E35" s="734">
        <f t="shared" si="14"/>
        <v>0</v>
      </c>
      <c r="F35" s="734">
        <f t="shared" si="14"/>
        <v>0</v>
      </c>
      <c r="G35" s="734">
        <f t="shared" si="14"/>
        <v>0</v>
      </c>
      <c r="H35" s="734">
        <f t="shared" si="14"/>
        <v>0</v>
      </c>
      <c r="I35" s="734">
        <f t="shared" si="14"/>
        <v>0</v>
      </c>
      <c r="J35" s="734">
        <f t="shared" si="14"/>
        <v>0</v>
      </c>
      <c r="K35" s="734">
        <f t="shared" si="14"/>
        <v>0</v>
      </c>
      <c r="L35" s="734">
        <f t="shared" si="14"/>
        <v>0</v>
      </c>
      <c r="M35" s="734">
        <f t="shared" si="14"/>
        <v>0</v>
      </c>
      <c r="N35" s="734">
        <f t="shared" si="14"/>
        <v>0</v>
      </c>
      <c r="O35" s="734">
        <f t="shared" si="14"/>
        <v>0</v>
      </c>
      <c r="P35" s="734">
        <f t="shared" si="14"/>
        <v>0</v>
      </c>
      <c r="Q35" s="734">
        <f t="shared" si="14"/>
        <v>0</v>
      </c>
      <c r="R35" s="734">
        <f t="shared" si="14"/>
        <v>0</v>
      </c>
      <c r="S35" s="734">
        <f t="shared" si="14"/>
        <v>0</v>
      </c>
      <c r="T35" s="735">
        <f>SUM(C35:S35)</f>
        <v>0</v>
      </c>
    </row>
    <row r="36" spans="1:23" ht="18" customHeight="1" x14ac:dyDescent="0.2">
      <c r="A36" s="636" t="s">
        <v>374</v>
      </c>
      <c r="B36" s="636" t="s">
        <v>351</v>
      </c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5"/>
    </row>
    <row r="37" spans="1:23" ht="30" x14ac:dyDescent="0.2">
      <c r="A37" s="636" t="s">
        <v>375</v>
      </c>
      <c r="B37" s="636" t="s">
        <v>353</v>
      </c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4"/>
      <c r="T37" s="735"/>
    </row>
    <row r="38" spans="1:23" ht="17.25" customHeight="1" x14ac:dyDescent="0.2">
      <c r="A38" s="636" t="s">
        <v>376</v>
      </c>
      <c r="B38" s="636" t="s">
        <v>355</v>
      </c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4"/>
      <c r="T38" s="735"/>
    </row>
    <row r="39" spans="1:23" ht="17.25" customHeight="1" x14ac:dyDescent="0.2">
      <c r="A39" s="636" t="s">
        <v>72</v>
      </c>
      <c r="B39" s="636" t="s">
        <v>360</v>
      </c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5">
        <f t="shared" ref="T39:T47" si="15">SUM(C39:S39)</f>
        <v>0</v>
      </c>
    </row>
    <row r="40" spans="1:23" ht="17.25" customHeight="1" x14ac:dyDescent="0.2">
      <c r="A40" s="636" t="s">
        <v>73</v>
      </c>
      <c r="B40" s="636" t="s">
        <v>361</v>
      </c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34"/>
      <c r="R40" s="734"/>
      <c r="S40" s="734"/>
      <c r="T40" s="735">
        <f t="shared" si="15"/>
        <v>0</v>
      </c>
    </row>
    <row r="41" spans="1:23" ht="20.25" customHeight="1" x14ac:dyDescent="0.2">
      <c r="A41" s="636" t="s">
        <v>74</v>
      </c>
      <c r="B41" s="636" t="s">
        <v>362</v>
      </c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5">
        <f t="shared" si="15"/>
        <v>0</v>
      </c>
    </row>
    <row r="42" spans="1:23" ht="20.25" customHeight="1" x14ac:dyDescent="0.2">
      <c r="A42" s="636" t="s">
        <v>75</v>
      </c>
      <c r="B42" s="636" t="s">
        <v>363</v>
      </c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5">
        <f t="shared" si="15"/>
        <v>0</v>
      </c>
    </row>
    <row r="43" spans="1:23" ht="20.25" customHeight="1" x14ac:dyDescent="0.2">
      <c r="A43" s="636" t="s">
        <v>256</v>
      </c>
      <c r="B43" s="636" t="s">
        <v>364</v>
      </c>
      <c r="C43" s="734"/>
      <c r="D43" s="734"/>
      <c r="E43" s="734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5">
        <f t="shared" si="15"/>
        <v>0</v>
      </c>
    </row>
    <row r="44" spans="1:23" ht="20.25" customHeight="1" x14ac:dyDescent="0.2">
      <c r="A44" s="636" t="s">
        <v>257</v>
      </c>
      <c r="B44" s="636" t="s">
        <v>365</v>
      </c>
      <c r="C44" s="734"/>
      <c r="D44" s="734"/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5">
        <f t="shared" si="15"/>
        <v>0</v>
      </c>
    </row>
    <row r="45" spans="1:23" ht="20.25" customHeight="1" x14ac:dyDescent="0.2">
      <c r="A45" s="636" t="s">
        <v>258</v>
      </c>
      <c r="B45" s="636" t="s">
        <v>366</v>
      </c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5">
        <f t="shared" si="15"/>
        <v>0</v>
      </c>
    </row>
    <row r="46" spans="1:23" ht="20.25" customHeight="1" x14ac:dyDescent="0.2">
      <c r="A46" s="636" t="s">
        <v>259</v>
      </c>
      <c r="B46" s="637" t="s">
        <v>377</v>
      </c>
      <c r="C46" s="735">
        <f t="shared" ref="C46:S46" si="16">SUM(C12+C29)</f>
        <v>52372306</v>
      </c>
      <c r="D46" s="735">
        <f t="shared" si="16"/>
        <v>49846659</v>
      </c>
      <c r="E46" s="735">
        <f t="shared" si="16"/>
        <v>48437528</v>
      </c>
      <c r="F46" s="735">
        <f t="shared" si="16"/>
        <v>47028396</v>
      </c>
      <c r="G46" s="735">
        <f t="shared" si="16"/>
        <v>45619265</v>
      </c>
      <c r="H46" s="735">
        <f t="shared" si="16"/>
        <v>44210134</v>
      </c>
      <c r="I46" s="735">
        <f t="shared" si="16"/>
        <v>42801003</v>
      </c>
      <c r="J46" s="735">
        <f t="shared" si="16"/>
        <v>41391872</v>
      </c>
      <c r="K46" s="735">
        <f t="shared" si="16"/>
        <v>39982740</v>
      </c>
      <c r="L46" s="735">
        <f t="shared" si="16"/>
        <v>38573609</v>
      </c>
      <c r="M46" s="735">
        <f t="shared" si="16"/>
        <v>37164478</v>
      </c>
      <c r="N46" s="735">
        <f t="shared" si="16"/>
        <v>35755347</v>
      </c>
      <c r="O46" s="735">
        <f t="shared" si="16"/>
        <v>34346216</v>
      </c>
      <c r="P46" s="735">
        <f t="shared" si="16"/>
        <v>32937084</v>
      </c>
      <c r="Q46" s="735">
        <f t="shared" si="16"/>
        <v>31527953</v>
      </c>
      <c r="R46" s="735">
        <f t="shared" si="16"/>
        <v>30118821</v>
      </c>
      <c r="S46" s="735">
        <f t="shared" si="16"/>
        <v>21680822</v>
      </c>
      <c r="T46" s="735">
        <f t="shared" si="15"/>
        <v>673794233</v>
      </c>
    </row>
    <row r="47" spans="1:23" ht="21" customHeight="1" x14ac:dyDescent="0.2">
      <c r="A47" s="636" t="s">
        <v>260</v>
      </c>
      <c r="B47" s="637" t="s">
        <v>378</v>
      </c>
      <c r="C47" s="735">
        <f t="shared" ref="C47:S47" si="17">C11-C46</f>
        <v>2712728725.5</v>
      </c>
      <c r="D47" s="735">
        <f t="shared" si="17"/>
        <v>1985228847.5</v>
      </c>
      <c r="E47" s="735">
        <f t="shared" si="17"/>
        <v>1990204008.355</v>
      </c>
      <c r="F47" s="735">
        <f t="shared" si="17"/>
        <v>1995213695.3268247</v>
      </c>
      <c r="G47" s="735">
        <f t="shared" si="17"/>
        <v>2000258560.1223307</v>
      </c>
      <c r="H47" s="735">
        <f t="shared" si="17"/>
        <v>2005339270.4857159</v>
      </c>
      <c r="I47" s="735">
        <f t="shared" si="17"/>
        <v>2010456506.4592297</v>
      </c>
      <c r="J47" s="735">
        <f t="shared" si="17"/>
        <v>2015610961.6490974</v>
      </c>
      <c r="K47" s="735">
        <f t="shared" si="17"/>
        <v>2020803344.4967632</v>
      </c>
      <c r="L47" s="735">
        <f t="shared" si="17"/>
        <v>2026034374.5555573</v>
      </c>
      <c r="M47" s="735">
        <f t="shared" si="17"/>
        <v>2031304788.7728958</v>
      </c>
      <c r="N47" s="735">
        <f t="shared" si="17"/>
        <v>2036615337.7781277</v>
      </c>
      <c r="O47" s="735">
        <f t="shared" si="17"/>
        <v>2041966787.1761336</v>
      </c>
      <c r="P47" s="735">
        <f t="shared" si="17"/>
        <v>2047359918.8468025</v>
      </c>
      <c r="Q47" s="735">
        <f t="shared" si="17"/>
        <v>2052795527.2504914</v>
      </c>
      <c r="R47" s="735">
        <f t="shared" si="17"/>
        <v>2058274426.7396011</v>
      </c>
      <c r="S47" s="735">
        <f t="shared" si="17"/>
        <v>2070826311.8763771</v>
      </c>
      <c r="T47" s="735">
        <f t="shared" si="15"/>
        <v>35101021392.890945</v>
      </c>
    </row>
    <row r="48" spans="1:23" ht="15" x14ac:dyDescent="0.2">
      <c r="A48" s="226"/>
      <c r="B48" s="226" t="s">
        <v>1167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8"/>
    </row>
    <row r="49" spans="1:25" ht="30" x14ac:dyDescent="0.2">
      <c r="A49" s="1001"/>
      <c r="B49" s="1003" t="s">
        <v>930</v>
      </c>
      <c r="C49" s="1006">
        <f>+'[2]13.sz. Közhatalmi bevételek'!$Y$6+'[2]13.sz. Közhatalmi bevételek'!$Y$7+'[2]13.sz. Közhatalmi bevételek'!$Y$8+'[2]13.sz. Közhatalmi bevételek'!$Y$9+'[2]13.sz. Közhatalmi bevételek'!$Y$10</f>
        <v>4651458788</v>
      </c>
      <c r="D49" s="734" t="s">
        <v>1168</v>
      </c>
      <c r="E49" s="734"/>
      <c r="F49" s="636"/>
      <c r="G49" s="226"/>
      <c r="H49" s="227"/>
      <c r="I49" s="227"/>
      <c r="J49" s="737" t="s">
        <v>1169</v>
      </c>
      <c r="K49" s="738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8"/>
    </row>
    <row r="50" spans="1:25" ht="43.15" customHeight="1" x14ac:dyDescent="0.2">
      <c r="A50" s="1002"/>
      <c r="B50" s="1004"/>
      <c r="C50" s="1007"/>
      <c r="D50" s="734" t="s">
        <v>617</v>
      </c>
      <c r="E50" s="734"/>
      <c r="F50" s="734"/>
      <c r="G50" s="227"/>
      <c r="H50" s="227"/>
      <c r="I50" s="227"/>
      <c r="J50" s="739" t="s">
        <v>1170</v>
      </c>
      <c r="K50" s="229"/>
      <c r="L50" s="226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8"/>
      <c r="X50" s="227"/>
      <c r="Y50" s="227"/>
    </row>
    <row r="51" spans="1:25" ht="15" x14ac:dyDescent="0.2">
      <c r="A51" s="1002"/>
      <c r="B51" s="1004"/>
      <c r="C51" s="1007"/>
      <c r="D51" s="734" t="s">
        <v>1171</v>
      </c>
      <c r="E51" s="734"/>
      <c r="F51" s="734"/>
      <c r="G51" s="227"/>
      <c r="H51" s="227"/>
      <c r="I51" s="227"/>
      <c r="J51" s="739" t="s">
        <v>1172</v>
      </c>
      <c r="K51" s="229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8"/>
      <c r="X51" s="227"/>
      <c r="Y51" s="227"/>
    </row>
    <row r="52" spans="1:25" ht="15" x14ac:dyDescent="0.2">
      <c r="A52" s="1002"/>
      <c r="B52" s="1004"/>
      <c r="C52" s="1007"/>
      <c r="D52" s="734" t="s">
        <v>380</v>
      </c>
      <c r="E52" s="734"/>
      <c r="F52" s="734"/>
      <c r="G52" s="227"/>
      <c r="H52" s="227"/>
      <c r="I52" s="227"/>
      <c r="J52" s="739"/>
      <c r="K52" s="229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8"/>
      <c r="X52" s="227"/>
      <c r="Y52" s="227"/>
    </row>
    <row r="53" spans="1:25" ht="45" x14ac:dyDescent="0.2">
      <c r="A53" s="1002"/>
      <c r="B53" s="1005"/>
      <c r="C53" s="1008"/>
      <c r="D53" s="734" t="s">
        <v>1173</v>
      </c>
      <c r="E53" s="734"/>
      <c r="F53" s="734" t="s">
        <v>251</v>
      </c>
      <c r="G53" s="227" t="s">
        <v>1174</v>
      </c>
      <c r="H53" s="227">
        <v>112472000</v>
      </c>
      <c r="I53" s="227"/>
      <c r="J53" s="739"/>
      <c r="K53" s="229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8"/>
    </row>
    <row r="54" spans="1:25" ht="30" x14ac:dyDescent="0.2">
      <c r="A54" s="1002"/>
      <c r="B54" s="636" t="s">
        <v>382</v>
      </c>
      <c r="C54" s="740"/>
      <c r="D54" s="734" t="s">
        <v>1175</v>
      </c>
      <c r="E54" s="734"/>
      <c r="F54" s="734"/>
      <c r="G54" s="227"/>
      <c r="H54" s="227"/>
      <c r="I54" s="227"/>
      <c r="J54" s="739" t="s">
        <v>1176</v>
      </c>
      <c r="K54" s="229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8"/>
    </row>
    <row r="55" spans="1:25" ht="15" x14ac:dyDescent="0.2">
      <c r="A55" s="1002"/>
      <c r="B55" s="636"/>
      <c r="C55" s="740"/>
      <c r="D55" s="734"/>
      <c r="E55" s="734"/>
      <c r="F55" s="734"/>
      <c r="G55" s="227"/>
      <c r="H55" s="227"/>
      <c r="I55" s="227"/>
      <c r="J55" s="739"/>
      <c r="K55" s="229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8"/>
    </row>
    <row r="56" spans="1:25" ht="30" x14ac:dyDescent="0.2">
      <c r="A56" s="1002"/>
      <c r="B56" s="637" t="s">
        <v>80</v>
      </c>
      <c r="C56" s="741">
        <f>SUM(C49:C55)</f>
        <v>4651458788</v>
      </c>
      <c r="D56" s="734" t="s">
        <v>1177</v>
      </c>
      <c r="E56" s="734"/>
      <c r="F56" s="734"/>
      <c r="G56" s="227"/>
      <c r="H56" s="227"/>
      <c r="I56" s="227"/>
      <c r="J56" s="739" t="s">
        <v>1178</v>
      </c>
      <c r="K56" s="229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8"/>
    </row>
    <row r="57" spans="1:25" ht="15" x14ac:dyDescent="0.2">
      <c r="A57" s="742"/>
      <c r="B57" s="636" t="s">
        <v>383</v>
      </c>
      <c r="C57" s="740"/>
      <c r="D57" s="734" t="s">
        <v>1179</v>
      </c>
      <c r="E57" s="734"/>
      <c r="F57" s="734"/>
      <c r="G57" s="227"/>
      <c r="H57" s="227"/>
      <c r="I57" s="227"/>
      <c r="J57" s="739" t="s">
        <v>1180</v>
      </c>
      <c r="K57" s="229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8"/>
    </row>
    <row r="58" spans="1:25" ht="15" x14ac:dyDescent="0.2">
      <c r="A58" s="742"/>
      <c r="B58" s="636" t="s">
        <v>384</v>
      </c>
      <c r="C58" s="740">
        <f>+'[2]13.sz. Közhatalmi bevételek'!$Y$11</f>
        <v>12389743</v>
      </c>
      <c r="D58" s="734" t="s">
        <v>1181</v>
      </c>
      <c r="E58" s="734"/>
      <c r="F58" s="734"/>
      <c r="G58" s="227"/>
      <c r="H58" s="227"/>
      <c r="I58" s="227"/>
      <c r="J58" s="739"/>
      <c r="K58" s="229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8"/>
    </row>
    <row r="59" spans="1:25" ht="15" x14ac:dyDescent="0.2">
      <c r="A59" s="742"/>
      <c r="B59" s="636" t="s">
        <v>618</v>
      </c>
      <c r="C59" s="740"/>
      <c r="D59" s="734"/>
      <c r="E59" s="734"/>
      <c r="F59" s="734"/>
      <c r="G59" s="227"/>
      <c r="H59" s="227"/>
      <c r="I59" s="227"/>
      <c r="J59" s="739"/>
      <c r="K59" s="229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8"/>
    </row>
    <row r="60" spans="1:25" ht="15" x14ac:dyDescent="0.2">
      <c r="A60" s="742"/>
      <c r="B60" s="636" t="s">
        <v>385</v>
      </c>
      <c r="C60" s="740">
        <f>+'[2]13.sz. Közhatalmi bevételek'!$Y$13+'[2]13.sz. Közhatalmi bevételek'!$Y$16+'[2]13.sz. Közhatalmi bevételek'!$Y$17+'[2]13.sz. Közhatalmi bevételek'!$Y$18</f>
        <v>4318146</v>
      </c>
      <c r="D60" s="734" t="s">
        <v>80</v>
      </c>
      <c r="E60" s="734"/>
      <c r="F60" s="734"/>
      <c r="G60" s="227"/>
      <c r="H60" s="227"/>
      <c r="I60" s="227"/>
      <c r="J60" s="743" t="s">
        <v>10</v>
      </c>
      <c r="K60" s="744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8"/>
    </row>
    <row r="61" spans="1:25" ht="15" x14ac:dyDescent="0.2">
      <c r="A61" s="742"/>
      <c r="B61" s="636" t="s">
        <v>619</v>
      </c>
      <c r="C61" s="740"/>
      <c r="D61" s="734"/>
      <c r="E61" s="734"/>
      <c r="F61" s="734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8"/>
    </row>
    <row r="62" spans="1:25" ht="15" x14ac:dyDescent="0.2">
      <c r="A62" s="742"/>
      <c r="B62" s="636"/>
      <c r="C62" s="740"/>
      <c r="D62" s="734"/>
      <c r="E62" s="734"/>
      <c r="F62" s="734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8"/>
    </row>
    <row r="63" spans="1:25" ht="15" x14ac:dyDescent="0.2">
      <c r="A63" s="745"/>
      <c r="B63" s="637" t="s">
        <v>80</v>
      </c>
      <c r="C63" s="741">
        <f>SUM(C58:C62)</f>
        <v>16707889</v>
      </c>
      <c r="D63" s="734"/>
      <c r="E63" s="734"/>
      <c r="F63" s="734"/>
      <c r="G63" s="227"/>
      <c r="H63" s="227">
        <f>+C56+C63</f>
        <v>4668166677</v>
      </c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8"/>
    </row>
    <row r="64" spans="1:25" ht="30" x14ac:dyDescent="0.2">
      <c r="A64" s="742"/>
      <c r="B64" s="636" t="s">
        <v>386</v>
      </c>
      <c r="C64" s="740"/>
      <c r="D64" s="734" t="s">
        <v>382</v>
      </c>
      <c r="E64" s="734"/>
      <c r="F64" s="734" t="s">
        <v>1182</v>
      </c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8"/>
    </row>
    <row r="65" spans="1:23" ht="15" x14ac:dyDescent="0.2">
      <c r="A65" s="742"/>
      <c r="B65" s="636" t="s">
        <v>1183</v>
      </c>
      <c r="C65" s="741">
        <f>+'[2]14.sz.Felhalmozási bev'!$V$23</f>
        <v>741978797</v>
      </c>
      <c r="D65" s="734"/>
      <c r="E65" s="734"/>
      <c r="F65" s="734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8"/>
    </row>
    <row r="66" spans="1:23" ht="15" x14ac:dyDescent="0.2">
      <c r="A66" s="742"/>
      <c r="B66" s="636" t="s">
        <v>931</v>
      </c>
      <c r="C66" s="740"/>
      <c r="D66" s="734"/>
      <c r="E66" s="734"/>
      <c r="F66" s="734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8"/>
    </row>
    <row r="67" spans="1:23" ht="15" x14ac:dyDescent="0.2">
      <c r="A67" s="742"/>
      <c r="B67" s="636" t="s">
        <v>932</v>
      </c>
      <c r="C67" s="740">
        <f>+'[2]1.a sz. Önkormányzat 2022. '!$DM$33</f>
        <v>3601224</v>
      </c>
      <c r="D67" s="734"/>
      <c r="E67" s="734"/>
      <c r="F67" s="734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8"/>
    </row>
    <row r="68" spans="1:23" ht="15" x14ac:dyDescent="0.2">
      <c r="A68" s="742"/>
      <c r="B68" s="636" t="s">
        <v>933</v>
      </c>
      <c r="C68" s="740">
        <f>+'[2]1.a sz. Önkormányzat 2022. '!$EK$33</f>
        <v>11809435</v>
      </c>
      <c r="D68" s="734"/>
      <c r="E68" s="734"/>
      <c r="F68" s="734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8"/>
    </row>
    <row r="69" spans="1:23" ht="15" x14ac:dyDescent="0.2">
      <c r="A69" s="742"/>
      <c r="B69" s="636" t="s">
        <v>617</v>
      </c>
      <c r="C69" s="740">
        <f>+'[2]1.a sz. Önkormányzat 2022. '!$EN$33</f>
        <v>692780</v>
      </c>
      <c r="D69" s="734"/>
      <c r="E69" s="734"/>
      <c r="F69" s="734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8"/>
    </row>
    <row r="70" spans="1:23" ht="15" x14ac:dyDescent="0.2">
      <c r="A70" s="742"/>
      <c r="B70" s="636" t="s">
        <v>934</v>
      </c>
      <c r="C70" s="740">
        <f>+'[2]1.a sz. Önkormányzat 2022. '!$EQ$33</f>
        <v>6092196</v>
      </c>
      <c r="D70" s="734"/>
      <c r="E70" s="734"/>
      <c r="F70" s="734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8"/>
    </row>
    <row r="71" spans="1:23" ht="15" x14ac:dyDescent="0.2">
      <c r="A71" s="742"/>
      <c r="B71" s="636" t="s">
        <v>694</v>
      </c>
      <c r="C71" s="740">
        <f>+'[2]1.a sz. Önkormányzat 2022. '!$FI$33</f>
        <v>16091500</v>
      </c>
      <c r="D71" s="734"/>
      <c r="E71" s="734"/>
      <c r="F71" s="734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8"/>
    </row>
    <row r="72" spans="1:23" ht="15" x14ac:dyDescent="0.2">
      <c r="A72" s="742"/>
      <c r="B72" s="638" t="s">
        <v>935</v>
      </c>
      <c r="C72" s="740">
        <f>+'[2]1.a sz. Önkormányzat 2022. '!$GG$33+'[2]1.a sz. Önkormányzat 2022. '!$GP$33</f>
        <v>81769454</v>
      </c>
      <c r="D72" s="734"/>
      <c r="E72" s="734"/>
      <c r="F72" s="734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8"/>
    </row>
    <row r="73" spans="1:23" ht="15" x14ac:dyDescent="0.2">
      <c r="A73" s="742"/>
      <c r="B73" s="636"/>
      <c r="C73" s="741">
        <f>SUM(C67:C72)</f>
        <v>120056589</v>
      </c>
      <c r="D73" s="734"/>
      <c r="E73" s="734"/>
      <c r="F73" s="734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8"/>
    </row>
    <row r="74" spans="1:23" ht="15" x14ac:dyDescent="0.2">
      <c r="A74" s="742"/>
      <c r="B74" s="636"/>
      <c r="C74" s="740"/>
      <c r="D74" s="734"/>
      <c r="E74" s="734"/>
      <c r="F74" s="734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8"/>
    </row>
    <row r="75" spans="1:23" ht="15" x14ac:dyDescent="0.2">
      <c r="A75" s="742"/>
      <c r="B75" s="636"/>
      <c r="C75" s="740"/>
      <c r="D75" s="734"/>
      <c r="E75" s="734"/>
      <c r="F75" s="734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8"/>
    </row>
    <row r="76" spans="1:23" ht="15" x14ac:dyDescent="0.2">
      <c r="A76" s="742"/>
      <c r="B76" s="636"/>
      <c r="C76" s="740"/>
      <c r="D76" s="734"/>
      <c r="E76" s="734"/>
      <c r="F76" s="734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8"/>
    </row>
    <row r="77" spans="1:23" ht="15" x14ac:dyDescent="0.2">
      <c r="A77" s="742"/>
      <c r="B77" s="636" t="s">
        <v>936</v>
      </c>
      <c r="C77" s="740"/>
      <c r="D77" s="734"/>
      <c r="E77" s="734"/>
      <c r="F77" s="734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8"/>
    </row>
    <row r="78" spans="1:23" ht="15" x14ac:dyDescent="0.2">
      <c r="A78" s="742"/>
      <c r="B78" s="636" t="s">
        <v>937</v>
      </c>
      <c r="C78" s="740">
        <f>+'[1]1.a sz. Önkormányzat 2022. '!ET33</f>
        <v>89437785</v>
      </c>
      <c r="D78" s="734"/>
      <c r="E78" s="734"/>
      <c r="F78" s="734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8"/>
    </row>
    <row r="79" spans="1:23" ht="15" x14ac:dyDescent="0.2">
      <c r="A79" s="742"/>
      <c r="B79" s="636" t="s">
        <v>620</v>
      </c>
      <c r="C79" s="740">
        <f>+'[1]1.a sz. Önkormányzat 2022. '!AW33</f>
        <v>13039031</v>
      </c>
      <c r="D79" s="734"/>
      <c r="E79" s="734"/>
      <c r="F79" s="734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8"/>
    </row>
    <row r="80" spans="1:23" ht="15" x14ac:dyDescent="0.2">
      <c r="A80" s="742"/>
      <c r="B80" s="636" t="s">
        <v>387</v>
      </c>
      <c r="C80" s="740">
        <f>+'[1]1.a sz. Önkormányzat 2022. '!AX33</f>
        <v>677580</v>
      </c>
      <c r="D80" s="734"/>
      <c r="E80" s="734"/>
      <c r="F80" s="734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8"/>
    </row>
    <row r="81" spans="1:23" ht="15" x14ac:dyDescent="0.2">
      <c r="A81" s="742"/>
      <c r="B81" s="636" t="s">
        <v>938</v>
      </c>
      <c r="C81" s="740"/>
      <c r="D81" s="734"/>
      <c r="E81" s="734"/>
      <c r="F81" s="734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8"/>
    </row>
    <row r="82" spans="1:23" ht="15" x14ac:dyDescent="0.2">
      <c r="A82" s="742"/>
      <c r="B82" s="636" t="s">
        <v>380</v>
      </c>
      <c r="C82" s="740">
        <f>+'[1]1.a sz. Önkormányzat 2022. '!AY33</f>
        <v>5280000</v>
      </c>
      <c r="D82" s="734"/>
      <c r="E82" s="734"/>
      <c r="F82" s="734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8"/>
    </row>
    <row r="83" spans="1:23" ht="15" x14ac:dyDescent="0.2">
      <c r="A83" s="742"/>
      <c r="B83" s="636" t="s">
        <v>939</v>
      </c>
      <c r="C83" s="740">
        <f>+'[1]1.a sz. Önkormányzat 2022. '!BN33+'[1]1.a sz. Önkormányzat 2022. '!BP33</f>
        <v>130000000</v>
      </c>
      <c r="D83" s="734"/>
      <c r="E83" s="734"/>
      <c r="F83" s="734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8"/>
    </row>
    <row r="84" spans="1:23" ht="15" x14ac:dyDescent="0.2">
      <c r="A84" s="742"/>
      <c r="B84" s="636" t="s">
        <v>388</v>
      </c>
      <c r="C84" s="740"/>
      <c r="D84" s="734"/>
      <c r="E84" s="734"/>
      <c r="F84" s="734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8"/>
    </row>
    <row r="85" spans="1:23" ht="15" x14ac:dyDescent="0.2">
      <c r="A85" s="742"/>
      <c r="B85" s="636" t="s">
        <v>940</v>
      </c>
      <c r="C85" s="740">
        <f>+'[1]1.a sz. Önkormányzat 2022. '!BE33</f>
        <v>10000000</v>
      </c>
      <c r="D85" s="734"/>
      <c r="E85" s="734"/>
      <c r="F85" s="734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8"/>
    </row>
    <row r="86" spans="1:23" ht="15" x14ac:dyDescent="0.2">
      <c r="A86" s="742"/>
      <c r="C86" s="740">
        <f>+'[1]1.a sz. Önkormányzat 2022. '!AO33</f>
        <v>751000</v>
      </c>
      <c r="D86" s="734" t="s">
        <v>80</v>
      </c>
      <c r="E86" s="734"/>
      <c r="F86" s="734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8"/>
    </row>
    <row r="87" spans="1:23" ht="15" x14ac:dyDescent="0.2">
      <c r="A87" s="742"/>
      <c r="B87" s="636" t="s">
        <v>793</v>
      </c>
      <c r="C87" s="740">
        <f>+'[1]1.a sz. Önkormányzat 2022. '!AN33</f>
        <v>31800000</v>
      </c>
      <c r="D87" s="734"/>
      <c r="E87" s="734"/>
      <c r="F87" s="734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8"/>
    </row>
    <row r="88" spans="1:23" ht="15" x14ac:dyDescent="0.2">
      <c r="A88" s="742"/>
      <c r="B88" s="636" t="s">
        <v>941</v>
      </c>
      <c r="C88" s="740"/>
      <c r="D88" s="734"/>
      <c r="E88" s="734"/>
      <c r="F88" s="734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8"/>
    </row>
    <row r="89" spans="1:23" ht="15" x14ac:dyDescent="0.2">
      <c r="A89" s="742"/>
      <c r="B89" s="636" t="s">
        <v>942</v>
      </c>
      <c r="C89" s="740">
        <f>+'[1]2.2. sz. Hétszínvirág Óvoda'!L33</f>
        <v>341394</v>
      </c>
      <c r="D89" s="734"/>
      <c r="E89" s="734"/>
      <c r="F89" s="734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8"/>
    </row>
    <row r="90" spans="1:23" ht="15" x14ac:dyDescent="0.2">
      <c r="A90" s="742"/>
      <c r="B90" s="636" t="s">
        <v>943</v>
      </c>
      <c r="C90" s="740">
        <f>+'[1]2.3. sz. Mese Óvoda'!J33</f>
        <v>499020</v>
      </c>
      <c r="D90" s="734"/>
      <c r="E90" s="734"/>
      <c r="F90" s="734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8"/>
    </row>
    <row r="91" spans="1:23" ht="15" x14ac:dyDescent="0.2">
      <c r="A91" s="742"/>
      <c r="B91" s="636" t="s">
        <v>944</v>
      </c>
      <c r="C91" s="740">
        <f>+'[1]2.8. sz. Műv.Ház'!F33+'[1]2.8. sz. Műv.Ház'!H33</f>
        <v>5293100</v>
      </c>
      <c r="D91" s="734"/>
      <c r="E91" s="734"/>
      <c r="F91" s="734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8"/>
    </row>
    <row r="92" spans="1:23" ht="15" x14ac:dyDescent="0.2">
      <c r="A92" s="226"/>
      <c r="B92" s="636" t="s">
        <v>80</v>
      </c>
      <c r="C92" s="741">
        <f>SUM(C65:C91)</f>
        <v>1269210885</v>
      </c>
      <c r="D92" s="734"/>
      <c r="E92" s="734"/>
      <c r="F92" s="734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8"/>
    </row>
    <row r="93" spans="1:23" ht="15" x14ac:dyDescent="0.2">
      <c r="A93" s="226"/>
      <c r="B93" s="636"/>
      <c r="C93" s="740"/>
      <c r="D93" s="734"/>
      <c r="E93" s="734"/>
      <c r="F93" s="734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8"/>
    </row>
    <row r="94" spans="1:23" ht="15" x14ac:dyDescent="0.2">
      <c r="A94" s="226"/>
      <c r="B94" s="636" t="s">
        <v>389</v>
      </c>
      <c r="C94" s="740"/>
      <c r="D94" s="734"/>
      <c r="E94" s="734"/>
      <c r="F94" s="734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8"/>
    </row>
    <row r="95" spans="1:23" ht="15" x14ac:dyDescent="0.2">
      <c r="A95" s="222"/>
      <c r="B95" s="637" t="s">
        <v>390</v>
      </c>
      <c r="C95" s="741"/>
      <c r="D95" s="734"/>
      <c r="E95" s="734"/>
      <c r="F95" s="734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8"/>
    </row>
    <row r="96" spans="1:23" ht="15" x14ac:dyDescent="0.2">
      <c r="A96" s="226"/>
      <c r="B96" s="636"/>
      <c r="C96" s="740"/>
      <c r="D96" s="734"/>
      <c r="E96" s="734"/>
      <c r="F96" s="734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8"/>
    </row>
    <row r="97" spans="1:23" ht="15" x14ac:dyDescent="0.2">
      <c r="A97" s="226"/>
      <c r="B97" s="636" t="s">
        <v>391</v>
      </c>
      <c r="C97" s="740"/>
      <c r="D97" s="734"/>
      <c r="E97" s="734"/>
      <c r="F97" s="734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8"/>
    </row>
    <row r="98" spans="1:23" ht="15" x14ac:dyDescent="0.2">
      <c r="A98" s="226"/>
      <c r="B98" s="636"/>
      <c r="C98" s="740"/>
      <c r="D98" s="734"/>
      <c r="E98" s="734"/>
      <c r="F98" s="734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8"/>
    </row>
    <row r="99" spans="1:23" ht="15" x14ac:dyDescent="0.2">
      <c r="A99" s="226"/>
      <c r="B99" s="226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8"/>
    </row>
    <row r="100" spans="1:23" ht="15" x14ac:dyDescent="0.2">
      <c r="A100" s="226"/>
      <c r="B100" s="226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8"/>
    </row>
    <row r="101" spans="1:23" ht="15" x14ac:dyDescent="0.2">
      <c r="A101" s="226"/>
      <c r="B101" s="226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8"/>
    </row>
    <row r="102" spans="1:23" ht="15" x14ac:dyDescent="0.2">
      <c r="A102" s="226"/>
      <c r="B102" s="226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8"/>
    </row>
    <row r="103" spans="1:23" ht="15" x14ac:dyDescent="0.2">
      <c r="A103" s="226"/>
      <c r="B103" s="226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8"/>
    </row>
    <row r="104" spans="1:23" ht="15" x14ac:dyDescent="0.2">
      <c r="A104" s="226"/>
      <c r="B104" s="226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8"/>
    </row>
    <row r="105" spans="1:23" ht="15" x14ac:dyDescent="0.2">
      <c r="A105" s="226"/>
      <c r="B105" s="226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8"/>
    </row>
    <row r="106" spans="1:23" ht="15" x14ac:dyDescent="0.2">
      <c r="A106" s="226"/>
      <c r="B106" s="226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8"/>
    </row>
    <row r="107" spans="1:23" ht="15" x14ac:dyDescent="0.2">
      <c r="A107" s="226"/>
      <c r="B107" s="226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8"/>
    </row>
  </sheetData>
  <mergeCells count="5">
    <mergeCell ref="C1:K1"/>
    <mergeCell ref="L1:T1"/>
    <mergeCell ref="A49:A56"/>
    <mergeCell ref="B49:B53"/>
    <mergeCell ref="C49:C53"/>
  </mergeCells>
  <printOptions horizontalCentered="1" verticalCentered="1"/>
  <pageMargins left="0.19685039370078741" right="0.19685039370078741" top="0" bottom="0" header="0.31496062992125984" footer="0.31496062992125984"/>
  <pageSetup paperSize="9" scale="52" orientation="landscape" r:id="rId1"/>
  <headerFooter>
    <oddHeader>&amp;CDunaharaszti Város Önkormányzata
2022.évi zárszámadás&amp;R&amp;A</oddHeader>
    <oddFooter xml:space="preserve">&amp;C&amp;P/&amp;N
</oddFooter>
  </headerFooter>
  <rowBreaks count="1" manualBreakCount="1">
    <brk id="47" max="16383" man="1"/>
  </rowBreaks>
  <colBreaks count="1" manualBreakCount="1">
    <brk id="11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N29"/>
  <sheetViews>
    <sheetView view="pageBreakPreview" zoomScaleNormal="100" zoomScaleSheetLayoutView="100" workbookViewId="0">
      <selection activeCell="S25" sqref="S25"/>
    </sheetView>
  </sheetViews>
  <sheetFormatPr defaultRowHeight="12.75" x14ac:dyDescent="0.2"/>
  <cols>
    <col min="1" max="1" width="4.28515625" style="221" customWidth="1"/>
    <col min="2" max="3" width="9.140625" style="221"/>
    <col min="4" max="4" width="14.42578125" style="221" customWidth="1"/>
    <col min="5" max="6" width="14.7109375" style="221" customWidth="1"/>
    <col min="7" max="7" width="10.85546875" style="221" customWidth="1"/>
    <col min="8" max="9" width="15.7109375" style="221" customWidth="1"/>
    <col min="10" max="10" width="12.5703125" style="221" customWidth="1"/>
    <col min="11" max="11" width="13.140625" style="221" customWidth="1"/>
    <col min="12" max="12" width="13.7109375" style="221" customWidth="1"/>
    <col min="13" max="16384" width="9.140625" style="221"/>
  </cols>
  <sheetData>
    <row r="1" spans="1:12" ht="32.25" customHeight="1" x14ac:dyDescent="0.2">
      <c r="A1" s="1024" t="s">
        <v>997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</row>
    <row r="2" spans="1:12" x14ac:dyDescent="0.2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x14ac:dyDescent="0.2">
      <c r="A3" s="642" t="s">
        <v>554</v>
      </c>
      <c r="B3" s="642"/>
      <c r="C3" s="642"/>
      <c r="D3" s="642"/>
      <c r="E3" s="642"/>
      <c r="F3" s="642"/>
      <c r="G3" s="642"/>
      <c r="H3" s="643"/>
      <c r="I3" s="643"/>
      <c r="J3" s="643"/>
      <c r="K3" s="643"/>
      <c r="L3" s="644" t="s">
        <v>553</v>
      </c>
    </row>
    <row r="4" spans="1:12" ht="71.25" customHeight="1" x14ac:dyDescent="0.2">
      <c r="A4" s="552" t="s">
        <v>254</v>
      </c>
      <c r="B4" s="1021" t="s">
        <v>541</v>
      </c>
      <c r="C4" s="1021"/>
      <c r="D4" s="1022"/>
      <c r="E4" s="553" t="s">
        <v>540</v>
      </c>
      <c r="F4" s="553" t="s">
        <v>893</v>
      </c>
      <c r="G4" s="360" t="s">
        <v>392</v>
      </c>
      <c r="H4" s="554" t="s">
        <v>692</v>
      </c>
      <c r="I4" s="554" t="s">
        <v>693</v>
      </c>
      <c r="J4" s="360" t="s">
        <v>392</v>
      </c>
      <c r="K4" s="345" t="s">
        <v>538</v>
      </c>
      <c r="L4" s="360" t="s">
        <v>537</v>
      </c>
    </row>
    <row r="5" spans="1:12" ht="18.75" customHeight="1" x14ac:dyDescent="0.2">
      <c r="A5" s="555" t="s">
        <v>3</v>
      </c>
      <c r="B5" s="1025" t="s">
        <v>552</v>
      </c>
      <c r="C5" s="1026"/>
      <c r="D5" s="1027"/>
      <c r="E5" s="346"/>
      <c r="F5" s="346"/>
      <c r="G5" s="556"/>
      <c r="H5" s="556">
        <v>6500000</v>
      </c>
      <c r="I5" s="556">
        <v>7300000</v>
      </c>
      <c r="J5" s="556">
        <v>7205500</v>
      </c>
      <c r="K5" s="346"/>
      <c r="L5" s="347"/>
    </row>
    <row r="6" spans="1:12" ht="18.75" customHeight="1" x14ac:dyDescent="0.2">
      <c r="A6" s="557" t="s">
        <v>4</v>
      </c>
      <c r="B6" s="1028" t="s">
        <v>551</v>
      </c>
      <c r="C6" s="1029"/>
      <c r="D6" s="1030"/>
      <c r="E6" s="348"/>
      <c r="F6" s="348"/>
      <c r="G6" s="558"/>
      <c r="H6" s="558"/>
      <c r="I6" s="558"/>
      <c r="J6" s="558"/>
      <c r="K6" s="348"/>
      <c r="L6" s="349"/>
    </row>
    <row r="7" spans="1:12" ht="18.75" customHeight="1" x14ac:dyDescent="0.2">
      <c r="A7" s="559" t="s">
        <v>5</v>
      </c>
      <c r="B7" s="1031" t="s">
        <v>550</v>
      </c>
      <c r="C7" s="1032"/>
      <c r="D7" s="1033"/>
      <c r="E7" s="350"/>
      <c r="F7" s="350"/>
      <c r="G7" s="351"/>
      <c r="H7" s="351"/>
      <c r="I7" s="351"/>
      <c r="J7" s="351"/>
      <c r="K7" s="350"/>
      <c r="L7" s="352"/>
    </row>
    <row r="8" spans="1:12" ht="20.25" customHeight="1" x14ac:dyDescent="0.2">
      <c r="A8" s="1034" t="s">
        <v>534</v>
      </c>
      <c r="B8" s="1035"/>
      <c r="C8" s="1035"/>
      <c r="D8" s="1036"/>
      <c r="E8" s="353">
        <f t="shared" ref="E8:L8" si="0">SUM(E5:E7)</f>
        <v>0</v>
      </c>
      <c r="F8" s="353">
        <f t="shared" si="0"/>
        <v>0</v>
      </c>
      <c r="G8" s="353">
        <f t="shared" si="0"/>
        <v>0</v>
      </c>
      <c r="H8" s="353">
        <f t="shared" si="0"/>
        <v>6500000</v>
      </c>
      <c r="I8" s="353">
        <f t="shared" si="0"/>
        <v>7300000</v>
      </c>
      <c r="J8" s="353">
        <f t="shared" si="0"/>
        <v>7205500</v>
      </c>
      <c r="K8" s="354">
        <f t="shared" si="0"/>
        <v>0</v>
      </c>
      <c r="L8" s="560">
        <f t="shared" si="0"/>
        <v>0</v>
      </c>
    </row>
    <row r="9" spans="1:12" x14ac:dyDescent="0.2">
      <c r="A9" s="561"/>
      <c r="B9" s="562"/>
      <c r="C9" s="562"/>
      <c r="D9" s="358"/>
      <c r="E9" s="355"/>
      <c r="F9" s="355"/>
      <c r="G9" s="355"/>
      <c r="H9" s="356"/>
      <c r="I9" s="356"/>
      <c r="J9" s="356"/>
      <c r="K9" s="356"/>
      <c r="L9" s="550"/>
    </row>
    <row r="10" spans="1:12" x14ac:dyDescent="0.2">
      <c r="A10" s="551" t="s">
        <v>549</v>
      </c>
      <c r="B10" s="357"/>
      <c r="C10" s="357"/>
      <c r="D10" s="357"/>
      <c r="E10" s="357"/>
      <c r="F10" s="343"/>
      <c r="G10" s="343"/>
      <c r="H10" s="356"/>
      <c r="I10" s="356"/>
      <c r="J10" s="356"/>
      <c r="K10" s="356"/>
      <c r="L10" s="550"/>
    </row>
    <row r="11" spans="1:12" x14ac:dyDescent="0.2">
      <c r="A11" s="563"/>
      <c r="B11" s="358"/>
      <c r="C11" s="358"/>
      <c r="D11" s="358"/>
      <c r="E11" s="358"/>
      <c r="F11" s="358"/>
      <c r="G11" s="358"/>
      <c r="H11" s="356"/>
      <c r="I11" s="356"/>
      <c r="J11" s="356"/>
      <c r="K11" s="356"/>
      <c r="L11" s="550"/>
    </row>
    <row r="12" spans="1:12" x14ac:dyDescent="0.2">
      <c r="A12" s="564" t="s">
        <v>548</v>
      </c>
      <c r="B12" s="343"/>
      <c r="C12" s="343"/>
      <c r="D12" s="343"/>
      <c r="E12" s="343"/>
      <c r="F12" s="343"/>
      <c r="G12" s="343"/>
      <c r="H12" s="344"/>
      <c r="I12" s="344"/>
      <c r="J12" s="344"/>
      <c r="K12" s="344"/>
      <c r="L12" s="550"/>
    </row>
    <row r="13" spans="1:12" ht="70.5" customHeight="1" x14ac:dyDescent="0.2">
      <c r="A13" s="359" t="s">
        <v>254</v>
      </c>
      <c r="B13" s="1037" t="s">
        <v>541</v>
      </c>
      <c r="C13" s="1037"/>
      <c r="D13" s="1037"/>
      <c r="E13" s="553" t="s">
        <v>540</v>
      </c>
      <c r="F13" s="553" t="s">
        <v>539</v>
      </c>
      <c r="G13" s="565" t="s">
        <v>392</v>
      </c>
      <c r="H13" s="554" t="s">
        <v>692</v>
      </c>
      <c r="I13" s="554" t="s">
        <v>693</v>
      </c>
      <c r="J13" s="360" t="s">
        <v>392</v>
      </c>
      <c r="K13" s="345" t="s">
        <v>538</v>
      </c>
      <c r="L13" s="360" t="s">
        <v>537</v>
      </c>
    </row>
    <row r="14" spans="1:12" ht="18.75" customHeight="1" x14ac:dyDescent="0.2">
      <c r="A14" s="361" t="s">
        <v>3</v>
      </c>
      <c r="B14" s="1038" t="s">
        <v>379</v>
      </c>
      <c r="C14" s="1039"/>
      <c r="D14" s="1040"/>
      <c r="E14" s="362"/>
      <c r="F14" s="362"/>
      <c r="G14" s="362"/>
      <c r="H14" s="452">
        <v>3000000</v>
      </c>
      <c r="I14" s="452">
        <v>3000000</v>
      </c>
      <c r="J14" s="452">
        <v>2999995</v>
      </c>
      <c r="K14" s="362"/>
      <c r="L14" s="362"/>
    </row>
    <row r="15" spans="1:12" ht="18.75" customHeight="1" x14ac:dyDescent="0.2">
      <c r="A15" s="566" t="s">
        <v>4</v>
      </c>
      <c r="B15" s="1011" t="s">
        <v>547</v>
      </c>
      <c r="C15" s="1012"/>
      <c r="D15" s="1013"/>
      <c r="E15" s="567"/>
      <c r="F15" s="567"/>
      <c r="G15" s="567"/>
      <c r="H15" s="568">
        <v>13000000</v>
      </c>
      <c r="I15" s="568">
        <v>13000000</v>
      </c>
      <c r="J15" s="568">
        <v>5944536</v>
      </c>
      <c r="K15" s="567"/>
      <c r="L15" s="567"/>
    </row>
    <row r="16" spans="1:12" ht="18.75" customHeight="1" x14ac:dyDescent="0.2">
      <c r="A16" s="566" t="s">
        <v>5</v>
      </c>
      <c r="B16" s="1011" t="s">
        <v>546</v>
      </c>
      <c r="C16" s="1012"/>
      <c r="D16" s="1013"/>
      <c r="E16" s="567"/>
      <c r="F16" s="567"/>
      <c r="G16" s="567"/>
      <c r="H16" s="568">
        <v>7600000</v>
      </c>
      <c r="I16" s="568">
        <f>+H16</f>
        <v>7600000</v>
      </c>
      <c r="J16" s="568">
        <v>7312899</v>
      </c>
      <c r="K16" s="567"/>
      <c r="L16" s="567"/>
    </row>
    <row r="17" spans="1:14" ht="18.75" customHeight="1" x14ac:dyDescent="0.2">
      <c r="A17" s="566" t="s">
        <v>6</v>
      </c>
      <c r="B17" s="1011" t="s">
        <v>381</v>
      </c>
      <c r="C17" s="1012"/>
      <c r="D17" s="1013"/>
      <c r="E17" s="567"/>
      <c r="F17" s="567"/>
      <c r="G17" s="567"/>
      <c r="H17" s="568">
        <v>1000000</v>
      </c>
      <c r="I17" s="568">
        <f>+H17</f>
        <v>1000000</v>
      </c>
      <c r="J17" s="568"/>
      <c r="K17" s="567"/>
      <c r="L17" s="567"/>
    </row>
    <row r="18" spans="1:14" ht="18.75" customHeight="1" x14ac:dyDescent="0.2">
      <c r="A18" s="566" t="s">
        <v>7</v>
      </c>
      <c r="B18" s="1011" t="s">
        <v>545</v>
      </c>
      <c r="C18" s="1012"/>
      <c r="D18" s="1013"/>
      <c r="E18" s="567"/>
      <c r="F18" s="567"/>
      <c r="G18" s="567"/>
      <c r="H18" s="568"/>
      <c r="I18" s="568"/>
      <c r="J18" s="568">
        <v>0</v>
      </c>
      <c r="K18" s="567"/>
      <c r="L18" s="567"/>
    </row>
    <row r="19" spans="1:14" ht="18.75" customHeight="1" x14ac:dyDescent="0.2">
      <c r="A19" s="566" t="s">
        <v>8</v>
      </c>
      <c r="B19" s="1011" t="s">
        <v>544</v>
      </c>
      <c r="C19" s="1012"/>
      <c r="D19" s="1013"/>
      <c r="E19" s="567"/>
      <c r="F19" s="567"/>
      <c r="G19" s="567"/>
      <c r="H19" s="568">
        <v>2500000</v>
      </c>
      <c r="I19" s="568">
        <f>+H19</f>
        <v>2500000</v>
      </c>
      <c r="J19" s="568">
        <v>128255</v>
      </c>
      <c r="K19" s="567"/>
      <c r="L19" s="567"/>
    </row>
    <row r="20" spans="1:14" ht="18.75" customHeight="1" x14ac:dyDescent="0.2">
      <c r="A20" s="363" t="s">
        <v>9</v>
      </c>
      <c r="B20" s="1014" t="s">
        <v>543</v>
      </c>
      <c r="C20" s="1015"/>
      <c r="D20" s="1016"/>
      <c r="E20" s="364"/>
      <c r="F20" s="364"/>
      <c r="G20" s="364"/>
      <c r="H20" s="453">
        <v>100000</v>
      </c>
      <c r="I20" s="453">
        <f>+H20</f>
        <v>100000</v>
      </c>
      <c r="J20" s="453">
        <v>0</v>
      </c>
      <c r="K20" s="364"/>
      <c r="L20" s="364"/>
    </row>
    <row r="21" spans="1:14" ht="24" customHeight="1" x14ac:dyDescent="0.2">
      <c r="A21" s="1017" t="s">
        <v>534</v>
      </c>
      <c r="B21" s="1018"/>
      <c r="C21" s="1018"/>
      <c r="D21" s="1019"/>
      <c r="E21" s="569">
        <f t="shared" ref="E21:L21" si="1">SUM(E14:E20)</f>
        <v>0</v>
      </c>
      <c r="F21" s="569">
        <f t="shared" si="1"/>
        <v>0</v>
      </c>
      <c r="G21" s="569">
        <f t="shared" si="1"/>
        <v>0</v>
      </c>
      <c r="H21" s="365">
        <f t="shared" si="1"/>
        <v>27200000</v>
      </c>
      <c r="I21" s="365">
        <f t="shared" si="1"/>
        <v>27200000</v>
      </c>
      <c r="J21" s="365">
        <f t="shared" si="1"/>
        <v>16385685</v>
      </c>
      <c r="K21" s="366">
        <f t="shared" si="1"/>
        <v>0</v>
      </c>
      <c r="L21" s="366">
        <f t="shared" si="1"/>
        <v>0</v>
      </c>
    </row>
    <row r="22" spans="1:14" x14ac:dyDescent="0.2">
      <c r="A22" s="358"/>
      <c r="B22" s="358"/>
      <c r="C22" s="358"/>
      <c r="D22" s="358"/>
      <c r="E22" s="358"/>
      <c r="F22" s="358"/>
      <c r="G22" s="358"/>
      <c r="H22" s="356"/>
      <c r="I22" s="356"/>
      <c r="J22" s="356"/>
      <c r="K22" s="356"/>
      <c r="L22" s="342"/>
    </row>
    <row r="23" spans="1:14" x14ac:dyDescent="0.2">
      <c r="A23" s="1020" t="s">
        <v>542</v>
      </c>
      <c r="B23" s="1020"/>
      <c r="C23" s="1020"/>
      <c r="D23" s="1020"/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</row>
    <row r="24" spans="1:14" ht="74.25" customHeight="1" x14ac:dyDescent="0.2">
      <c r="A24" s="552" t="s">
        <v>254</v>
      </c>
      <c r="B24" s="1021" t="s">
        <v>541</v>
      </c>
      <c r="C24" s="1021"/>
      <c r="D24" s="1022"/>
      <c r="E24" s="553" t="s">
        <v>540</v>
      </c>
      <c r="F24" s="553" t="s">
        <v>539</v>
      </c>
      <c r="G24" s="565" t="s">
        <v>392</v>
      </c>
      <c r="H24" s="554" t="s">
        <v>692</v>
      </c>
      <c r="I24" s="554" t="s">
        <v>693</v>
      </c>
      <c r="J24" s="360" t="s">
        <v>392</v>
      </c>
      <c r="K24" s="345" t="s">
        <v>538</v>
      </c>
      <c r="L24" s="360" t="s">
        <v>537</v>
      </c>
    </row>
    <row r="25" spans="1:14" ht="20.25" customHeight="1" x14ac:dyDescent="0.2">
      <c r="A25" s="570" t="s">
        <v>3</v>
      </c>
      <c r="B25" s="1023" t="s">
        <v>536</v>
      </c>
      <c r="C25" s="1023"/>
      <c r="D25" s="1023"/>
      <c r="E25" s="367"/>
      <c r="F25" s="367"/>
      <c r="G25" s="571"/>
      <c r="H25" s="572"/>
      <c r="I25" s="572"/>
      <c r="J25" s="572"/>
      <c r="K25" s="367"/>
      <c r="L25" s="367"/>
    </row>
    <row r="26" spans="1:14" ht="20.25" customHeight="1" x14ac:dyDescent="0.2">
      <c r="A26" s="368" t="s">
        <v>4</v>
      </c>
      <c r="B26" s="1009" t="s">
        <v>535</v>
      </c>
      <c r="C26" s="1009"/>
      <c r="D26" s="1009"/>
      <c r="E26" s="369"/>
      <c r="F26" s="369"/>
      <c r="G26" s="369"/>
      <c r="H26" s="496">
        <v>6500000</v>
      </c>
      <c r="I26" s="496">
        <v>6500000</v>
      </c>
      <c r="J26" s="496">
        <v>6308500</v>
      </c>
      <c r="K26" s="369"/>
      <c r="L26" s="369"/>
    </row>
    <row r="27" spans="1:14" ht="23.25" customHeight="1" x14ac:dyDescent="0.2">
      <c r="A27" s="1010" t="s">
        <v>534</v>
      </c>
      <c r="B27" s="1010"/>
      <c r="C27" s="1010"/>
      <c r="D27" s="1010"/>
      <c r="E27" s="370">
        <f t="shared" ref="E27:L27" si="2">SUM(E25:E26)</f>
        <v>0</v>
      </c>
      <c r="F27" s="370">
        <f t="shared" si="2"/>
        <v>0</v>
      </c>
      <c r="G27" s="370">
        <f t="shared" si="2"/>
        <v>0</v>
      </c>
      <c r="H27" s="371">
        <f t="shared" si="2"/>
        <v>6500000</v>
      </c>
      <c r="I27" s="371">
        <f t="shared" si="2"/>
        <v>6500000</v>
      </c>
      <c r="J27" s="371">
        <f t="shared" si="2"/>
        <v>6308500</v>
      </c>
      <c r="K27" s="370">
        <f t="shared" si="2"/>
        <v>0</v>
      </c>
      <c r="L27" s="370">
        <f t="shared" si="2"/>
        <v>0</v>
      </c>
    </row>
    <row r="28" spans="1:14" x14ac:dyDescent="0.2">
      <c r="A28" s="372"/>
      <c r="B28" s="372"/>
      <c r="C28" s="373"/>
      <c r="D28" s="374"/>
      <c r="E28" s="374"/>
      <c r="F28" s="374"/>
      <c r="G28" s="374"/>
      <c r="H28" s="356"/>
      <c r="I28" s="356"/>
      <c r="J28" s="356"/>
      <c r="K28" s="356"/>
      <c r="L28" s="342"/>
    </row>
    <row r="29" spans="1:14" x14ac:dyDescent="0.2">
      <c r="A29" s="343" t="s">
        <v>533</v>
      </c>
      <c r="B29" s="343"/>
      <c r="C29" s="343"/>
      <c r="D29" s="343"/>
      <c r="E29" s="343"/>
      <c r="F29" s="343"/>
      <c r="G29" s="343"/>
      <c r="H29" s="375"/>
      <c r="I29" s="375"/>
      <c r="J29" s="375"/>
      <c r="K29" s="375"/>
      <c r="L29" s="342"/>
    </row>
  </sheetData>
  <mergeCells count="20">
    <mergeCell ref="B18:D18"/>
    <mergeCell ref="A1:L1"/>
    <mergeCell ref="B4:D4"/>
    <mergeCell ref="B5:D5"/>
    <mergeCell ref="B6:D6"/>
    <mergeCell ref="B7:D7"/>
    <mergeCell ref="A8:D8"/>
    <mergeCell ref="B13:D13"/>
    <mergeCell ref="B14:D14"/>
    <mergeCell ref="B15:D15"/>
    <mergeCell ref="B16:D16"/>
    <mergeCell ref="B17:D17"/>
    <mergeCell ref="B26:D26"/>
    <mergeCell ref="A27:D27"/>
    <mergeCell ref="B19:D19"/>
    <mergeCell ref="B20:D20"/>
    <mergeCell ref="A21:D21"/>
    <mergeCell ref="A23:N23"/>
    <mergeCell ref="B24:D24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&amp;CDunaharaszti Város Önkormányzata
2022. zárszámadás&amp;R&amp;A</oddHeader>
    <oddFooter xml:space="preserve">&amp;C&amp;P/&amp;N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F4C5-E806-49FA-B921-EAABC9E1A18B}">
  <sheetPr>
    <tabColor theme="3" tint="0.59999389629810485"/>
  </sheetPr>
  <dimension ref="A1:P27"/>
  <sheetViews>
    <sheetView view="pageBreakPreview" topLeftCell="D7" zoomScaleNormal="100" zoomScaleSheetLayoutView="100" workbookViewId="0">
      <selection activeCell="E21" sqref="E21"/>
    </sheetView>
  </sheetViews>
  <sheetFormatPr defaultRowHeight="15" x14ac:dyDescent="0.25"/>
  <cols>
    <col min="1" max="1" width="2.5703125" bestFit="1" customWidth="1"/>
    <col min="2" max="2" width="54" bestFit="1" customWidth="1"/>
    <col min="3" max="3" width="13.140625" customWidth="1"/>
    <col min="4" max="4" width="20" customWidth="1"/>
    <col min="5" max="5" width="20.5703125" bestFit="1" customWidth="1"/>
    <col min="6" max="6" width="22.140625" customWidth="1"/>
    <col min="7" max="7" width="21.85546875" customWidth="1"/>
    <col min="8" max="8" width="23" customWidth="1"/>
    <col min="9" max="12" width="21.85546875" customWidth="1"/>
    <col min="13" max="13" width="18.28515625" customWidth="1"/>
    <col min="14" max="14" width="14.5703125" bestFit="1" customWidth="1"/>
    <col min="15" max="15" width="13.5703125" customWidth="1"/>
    <col min="16" max="16" width="14.5703125" bestFit="1" customWidth="1"/>
  </cols>
  <sheetData>
    <row r="1" spans="1:15" ht="18.75" x14ac:dyDescent="0.3">
      <c r="A1" s="1046" t="s">
        <v>650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</row>
    <row r="2" spans="1:15" x14ac:dyDescent="0.25">
      <c r="A2" s="1047" t="s">
        <v>651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</row>
    <row r="3" spans="1:15" ht="15.75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5" ht="16.5" thickBot="1" x14ac:dyDescent="0.3">
      <c r="B4" s="235"/>
      <c r="C4" s="236"/>
      <c r="D4" s="236"/>
      <c r="E4" s="236"/>
      <c r="F4" s="236"/>
    </row>
    <row r="5" spans="1:15" ht="34.5" customHeight="1" x14ac:dyDescent="0.25">
      <c r="A5" s="1048" t="s">
        <v>652</v>
      </c>
      <c r="B5" s="1049"/>
      <c r="C5" s="1050" t="s">
        <v>623</v>
      </c>
      <c r="D5" s="1051"/>
      <c r="E5" s="1052"/>
      <c r="F5" s="237" t="s">
        <v>624</v>
      </c>
      <c r="G5" s="1050" t="s">
        <v>704</v>
      </c>
      <c r="H5" s="1052"/>
      <c r="I5" s="237" t="s">
        <v>702</v>
      </c>
      <c r="J5" s="237" t="s">
        <v>798</v>
      </c>
      <c r="K5" s="237" t="s">
        <v>899</v>
      </c>
      <c r="L5" s="237" t="s">
        <v>1189</v>
      </c>
      <c r="M5" s="238" t="s">
        <v>626</v>
      </c>
    </row>
    <row r="6" spans="1:15" ht="31.5" customHeight="1" thickBot="1" x14ac:dyDescent="0.3">
      <c r="A6" s="1041" t="s">
        <v>705</v>
      </c>
      <c r="B6" s="1042"/>
      <c r="C6" s="1043">
        <v>167235060</v>
      </c>
      <c r="D6" s="1044"/>
      <c r="E6" s="1045"/>
      <c r="F6" s="763">
        <v>0</v>
      </c>
      <c r="G6" s="763">
        <v>125426295</v>
      </c>
      <c r="H6" s="763"/>
      <c r="I6" s="763">
        <v>0</v>
      </c>
      <c r="J6" s="763">
        <v>41808765</v>
      </c>
      <c r="K6" s="763" t="s">
        <v>78</v>
      </c>
      <c r="L6" s="763" t="s">
        <v>78</v>
      </c>
      <c r="M6" s="763">
        <v>0</v>
      </c>
    </row>
    <row r="7" spans="1:15" ht="45" x14ac:dyDescent="0.25">
      <c r="A7" s="1053" t="s">
        <v>628</v>
      </c>
      <c r="B7" s="1054"/>
      <c r="C7" s="379" t="s">
        <v>629</v>
      </c>
      <c r="D7" s="387" t="s">
        <v>706</v>
      </c>
      <c r="E7" s="387" t="s">
        <v>707</v>
      </c>
      <c r="F7" s="379" t="s">
        <v>630</v>
      </c>
      <c r="G7" s="379" t="s">
        <v>631</v>
      </c>
      <c r="H7" s="379" t="s">
        <v>708</v>
      </c>
      <c r="I7" s="379" t="s">
        <v>703</v>
      </c>
      <c r="J7" s="379" t="s">
        <v>797</v>
      </c>
      <c r="K7" s="379" t="s">
        <v>898</v>
      </c>
      <c r="L7" s="379" t="s">
        <v>1190</v>
      </c>
      <c r="M7" s="388" t="s">
        <v>626</v>
      </c>
    </row>
    <row r="8" spans="1:15" ht="29.25" customHeight="1" x14ac:dyDescent="0.25">
      <c r="A8" s="1055" t="s">
        <v>3</v>
      </c>
      <c r="B8" s="579" t="s">
        <v>654</v>
      </c>
      <c r="C8" s="580">
        <v>168361667</v>
      </c>
      <c r="D8" s="764">
        <v>622564189</v>
      </c>
      <c r="E8" s="764">
        <v>649268979</v>
      </c>
      <c r="F8" s="764"/>
      <c r="G8" s="576">
        <v>29494617</v>
      </c>
      <c r="H8" s="576">
        <v>29494617</v>
      </c>
      <c r="I8" s="576">
        <f>371212219-29494617</f>
        <v>341717602</v>
      </c>
      <c r="J8" s="576">
        <v>278056760</v>
      </c>
      <c r="K8" s="576"/>
      <c r="L8" s="576"/>
      <c r="M8" s="765">
        <f>+E8-F8-H8-I8-J8</f>
        <v>0</v>
      </c>
      <c r="N8" s="242">
        <f t="shared" ref="N8:N20" si="0">+F8+H8+I8+M8</f>
        <v>371212219</v>
      </c>
      <c r="O8" s="242">
        <f t="shared" ref="O8:O20" si="1">+N8-E8</f>
        <v>-278056760</v>
      </c>
    </row>
    <row r="9" spans="1:15" ht="33" customHeight="1" x14ac:dyDescent="0.25">
      <c r="A9" s="1056"/>
      <c r="B9" s="579" t="s">
        <v>799</v>
      </c>
      <c r="C9" s="580">
        <v>6200000</v>
      </c>
      <c r="D9" s="764">
        <v>22926229</v>
      </c>
      <c r="E9" s="764">
        <v>23826454</v>
      </c>
      <c r="F9" s="764"/>
      <c r="G9" s="576"/>
      <c r="H9" s="576"/>
      <c r="I9" s="576"/>
      <c r="J9" s="576">
        <v>23826454</v>
      </c>
      <c r="K9" s="576"/>
      <c r="L9" s="576"/>
      <c r="M9" s="765">
        <f>+E9-F9-H9-I9-J9</f>
        <v>0</v>
      </c>
      <c r="N9" s="242">
        <f t="shared" si="0"/>
        <v>0</v>
      </c>
      <c r="O9" s="242">
        <f t="shared" si="1"/>
        <v>-23826454</v>
      </c>
    </row>
    <row r="10" spans="1:15" ht="32.25" customHeight="1" x14ac:dyDescent="0.25">
      <c r="A10" s="1056"/>
      <c r="B10" s="581" t="s">
        <v>670</v>
      </c>
      <c r="C10" s="580">
        <v>749999</v>
      </c>
      <c r="D10" s="764">
        <v>2773328</v>
      </c>
      <c r="E10" s="764">
        <v>2773328</v>
      </c>
      <c r="F10" s="764"/>
      <c r="G10" s="576"/>
      <c r="H10" s="576"/>
      <c r="I10" s="576"/>
      <c r="J10" s="576">
        <v>2773328</v>
      </c>
      <c r="K10" s="576"/>
      <c r="L10" s="576"/>
      <c r="M10" s="765">
        <f>+E10-F10-H10-I10-J10</f>
        <v>0</v>
      </c>
      <c r="N10" s="242">
        <f t="shared" si="0"/>
        <v>0</v>
      </c>
      <c r="O10" s="242">
        <f t="shared" si="1"/>
        <v>-2773328</v>
      </c>
    </row>
    <row r="11" spans="1:15" ht="18" customHeight="1" x14ac:dyDescent="0.25">
      <c r="A11" s="1057"/>
      <c r="B11" s="582" t="s">
        <v>655</v>
      </c>
      <c r="C11" s="580">
        <v>2800000</v>
      </c>
      <c r="D11" s="764">
        <v>10353783</v>
      </c>
      <c r="E11" s="764">
        <v>11383479</v>
      </c>
      <c r="F11" s="764"/>
      <c r="G11" s="576"/>
      <c r="H11" s="576"/>
      <c r="I11" s="576"/>
      <c r="J11" s="576">
        <v>11383479</v>
      </c>
      <c r="K11" s="576"/>
      <c r="L11" s="576"/>
      <c r="M11" s="765">
        <f>+E11-F11-H11-I11-J11</f>
        <v>0</v>
      </c>
      <c r="N11" s="242">
        <f t="shared" si="0"/>
        <v>0</v>
      </c>
      <c r="O11" s="242">
        <f t="shared" si="1"/>
        <v>-11383479</v>
      </c>
    </row>
    <row r="12" spans="1:15" ht="30.75" customHeight="1" x14ac:dyDescent="0.25">
      <c r="A12" s="1055" t="s">
        <v>4</v>
      </c>
      <c r="B12" s="579" t="s">
        <v>656</v>
      </c>
      <c r="C12" s="580">
        <v>2000000</v>
      </c>
      <c r="D12" s="764">
        <v>2000000</v>
      </c>
      <c r="E12" s="764">
        <v>2538600</v>
      </c>
      <c r="F12" s="764">
        <v>2538600</v>
      </c>
      <c r="G12" s="576"/>
      <c r="H12" s="576"/>
      <c r="I12" s="576"/>
      <c r="J12" s="576"/>
      <c r="K12" s="576"/>
      <c r="L12" s="576"/>
      <c r="M12" s="765">
        <f t="shared" ref="M12:M19" si="2">+E12-F12-H12-I12</f>
        <v>0</v>
      </c>
      <c r="N12" s="242">
        <f t="shared" si="0"/>
        <v>2538600</v>
      </c>
      <c r="O12" s="242">
        <f t="shared" si="1"/>
        <v>0</v>
      </c>
    </row>
    <row r="13" spans="1:15" ht="18" customHeight="1" x14ac:dyDescent="0.25">
      <c r="A13" s="1056"/>
      <c r="B13" s="583" t="s">
        <v>657</v>
      </c>
      <c r="C13" s="580">
        <v>3378200</v>
      </c>
      <c r="D13" s="764">
        <v>3378200</v>
      </c>
      <c r="E13" s="764">
        <v>3344701</v>
      </c>
      <c r="F13" s="764"/>
      <c r="G13" s="576">
        <v>3344701</v>
      </c>
      <c r="H13" s="576">
        <v>3344701</v>
      </c>
      <c r="I13" s="576"/>
      <c r="J13" s="576"/>
      <c r="K13" s="576"/>
      <c r="L13" s="576"/>
      <c r="M13" s="765">
        <f t="shared" si="2"/>
        <v>0</v>
      </c>
      <c r="N13" s="242">
        <f t="shared" si="0"/>
        <v>3344701</v>
      </c>
      <c r="O13" s="242">
        <f t="shared" si="1"/>
        <v>0</v>
      </c>
    </row>
    <row r="14" spans="1:15" ht="18" customHeight="1" x14ac:dyDescent="0.25">
      <c r="A14" s="1057"/>
      <c r="B14" s="583" t="s">
        <v>658</v>
      </c>
      <c r="C14" s="580">
        <v>4000000</v>
      </c>
      <c r="D14" s="764">
        <v>4000000</v>
      </c>
      <c r="E14" s="764">
        <v>6642100</v>
      </c>
      <c r="F14" s="764"/>
      <c r="G14" s="576">
        <v>6642100</v>
      </c>
      <c r="H14" s="576">
        <v>6642100</v>
      </c>
      <c r="I14" s="576"/>
      <c r="J14" s="576"/>
      <c r="K14" s="576"/>
      <c r="L14" s="576"/>
      <c r="M14" s="765">
        <f t="shared" si="2"/>
        <v>0</v>
      </c>
      <c r="N14" s="242">
        <f t="shared" si="0"/>
        <v>6642100</v>
      </c>
      <c r="O14" s="242">
        <f t="shared" si="1"/>
        <v>0</v>
      </c>
    </row>
    <row r="15" spans="1:15" ht="18" customHeight="1" x14ac:dyDescent="0.25">
      <c r="A15" s="766" t="s">
        <v>5</v>
      </c>
      <c r="B15" s="583" t="s">
        <v>659</v>
      </c>
      <c r="C15" s="580">
        <v>1968280</v>
      </c>
      <c r="D15" s="580">
        <v>1968280</v>
      </c>
      <c r="E15" s="764">
        <v>1460500</v>
      </c>
      <c r="F15" s="764"/>
      <c r="G15" s="576">
        <v>1243000</v>
      </c>
      <c r="H15" s="576">
        <f>381000</f>
        <v>381000</v>
      </c>
      <c r="I15" s="576">
        <v>1079500</v>
      </c>
      <c r="J15" s="576"/>
      <c r="K15" s="576"/>
      <c r="L15" s="576"/>
      <c r="M15" s="765">
        <f t="shared" si="2"/>
        <v>0</v>
      </c>
      <c r="N15" s="242">
        <f t="shared" si="0"/>
        <v>1460500</v>
      </c>
      <c r="O15" s="242">
        <f t="shared" si="1"/>
        <v>0</v>
      </c>
    </row>
    <row r="16" spans="1:15" ht="18" customHeight="1" x14ac:dyDescent="0.25">
      <c r="A16" s="766" t="s">
        <v>6</v>
      </c>
      <c r="B16" s="583" t="s">
        <v>660</v>
      </c>
      <c r="C16" s="580">
        <v>1968280</v>
      </c>
      <c r="D16" s="580">
        <v>1968280</v>
      </c>
      <c r="E16" s="764">
        <v>1968280</v>
      </c>
      <c r="F16" s="764"/>
      <c r="G16" s="576">
        <v>1968280</v>
      </c>
      <c r="H16" s="576">
        <v>1968280</v>
      </c>
      <c r="I16" s="576"/>
      <c r="J16" s="576"/>
      <c r="K16" s="576"/>
      <c r="L16" s="576"/>
      <c r="M16" s="765">
        <f t="shared" si="2"/>
        <v>0</v>
      </c>
      <c r="N16" s="242">
        <f t="shared" si="0"/>
        <v>1968280</v>
      </c>
      <c r="O16" s="242">
        <f t="shared" si="1"/>
        <v>0</v>
      </c>
    </row>
    <row r="17" spans="1:16" ht="18" customHeight="1" x14ac:dyDescent="0.25">
      <c r="A17" s="766" t="s">
        <v>7</v>
      </c>
      <c r="B17" s="583" t="s">
        <v>661</v>
      </c>
      <c r="C17" s="580">
        <v>4920703</v>
      </c>
      <c r="D17" s="764">
        <v>4920703</v>
      </c>
      <c r="E17" s="764">
        <v>4845354</v>
      </c>
      <c r="F17" s="764"/>
      <c r="G17" s="576"/>
      <c r="H17" s="576"/>
      <c r="I17" s="576"/>
      <c r="J17" s="576">
        <v>4826517</v>
      </c>
      <c r="K17" s="576"/>
      <c r="L17" s="576"/>
      <c r="M17" s="765">
        <f>+E17-F17-H17-I17-J17</f>
        <v>18837</v>
      </c>
      <c r="N17" s="242">
        <f t="shared" si="0"/>
        <v>18837</v>
      </c>
      <c r="O17" s="242">
        <f t="shared" si="1"/>
        <v>-4826517</v>
      </c>
    </row>
    <row r="18" spans="1:16" ht="18" customHeight="1" x14ac:dyDescent="0.25">
      <c r="A18" s="1055" t="s">
        <v>8</v>
      </c>
      <c r="B18" s="583" t="s">
        <v>662</v>
      </c>
      <c r="C18" s="580">
        <v>63500</v>
      </c>
      <c r="D18" s="764">
        <v>63500</v>
      </c>
      <c r="E18" s="764">
        <v>30000</v>
      </c>
      <c r="F18" s="764"/>
      <c r="G18" s="576">
        <v>30000</v>
      </c>
      <c r="H18" s="576">
        <v>30000</v>
      </c>
      <c r="I18" s="576"/>
      <c r="J18" s="576"/>
      <c r="K18" s="576"/>
      <c r="L18" s="576"/>
      <c r="M18" s="765">
        <f t="shared" si="2"/>
        <v>0</v>
      </c>
      <c r="N18" s="242">
        <f t="shared" si="0"/>
        <v>30000</v>
      </c>
      <c r="O18" s="242">
        <f t="shared" si="1"/>
        <v>0</v>
      </c>
    </row>
    <row r="19" spans="1:16" ht="18" customHeight="1" x14ac:dyDescent="0.25">
      <c r="A19" s="1056"/>
      <c r="B19" s="583" t="s">
        <v>663</v>
      </c>
      <c r="C19" s="580">
        <v>19000</v>
      </c>
      <c r="D19" s="764">
        <v>19000</v>
      </c>
      <c r="E19" s="764">
        <v>0</v>
      </c>
      <c r="F19" s="764"/>
      <c r="G19" s="576"/>
      <c r="H19" s="576"/>
      <c r="I19" s="576"/>
      <c r="J19" s="576"/>
      <c r="K19" s="576"/>
      <c r="L19" s="576"/>
      <c r="M19" s="765">
        <f t="shared" si="2"/>
        <v>0</v>
      </c>
      <c r="N19" s="242">
        <f t="shared" si="0"/>
        <v>0</v>
      </c>
      <c r="O19" s="242">
        <f t="shared" si="1"/>
        <v>0</v>
      </c>
    </row>
    <row r="20" spans="1:16" ht="18" customHeight="1" thickBot="1" x14ac:dyDescent="0.3">
      <c r="A20" s="1058"/>
      <c r="B20" s="583" t="s">
        <v>664</v>
      </c>
      <c r="C20" s="580">
        <v>317500</v>
      </c>
      <c r="D20" s="764">
        <v>317500</v>
      </c>
      <c r="E20" s="764">
        <v>361900</v>
      </c>
      <c r="F20" s="764"/>
      <c r="G20" s="576"/>
      <c r="H20" s="576"/>
      <c r="I20" s="576"/>
      <c r="J20" s="576">
        <v>361900</v>
      </c>
      <c r="K20" s="576"/>
      <c r="L20" s="576"/>
      <c r="M20" s="765">
        <f>+E20-F20-H20-I20-J20</f>
        <v>0</v>
      </c>
      <c r="N20" s="242">
        <f t="shared" si="0"/>
        <v>0</v>
      </c>
      <c r="O20" s="242">
        <f t="shared" si="1"/>
        <v>-361900</v>
      </c>
    </row>
    <row r="21" spans="1:16" ht="28.5" customHeight="1" thickBot="1" x14ac:dyDescent="0.3">
      <c r="A21" s="1059" t="s">
        <v>714</v>
      </c>
      <c r="B21" s="1060"/>
      <c r="C21" s="389">
        <f>SUM(C8:C20)</f>
        <v>196747129</v>
      </c>
      <c r="D21" s="389">
        <f>SUM(D8:D20)+2</f>
        <v>677252994</v>
      </c>
      <c r="E21" s="389">
        <f t="shared" ref="E21:N21" si="3">SUM(E8:E20)</f>
        <v>708443675</v>
      </c>
      <c r="F21" s="390">
        <f t="shared" si="3"/>
        <v>2538600</v>
      </c>
      <c r="G21" s="390">
        <f t="shared" si="3"/>
        <v>42722698</v>
      </c>
      <c r="H21" s="390">
        <f t="shared" si="3"/>
        <v>41860698</v>
      </c>
      <c r="I21" s="390">
        <f t="shared" si="3"/>
        <v>342797102</v>
      </c>
      <c r="J21" s="390">
        <f t="shared" ref="J21:L21" si="4">SUM(J8:J20)</f>
        <v>321228438</v>
      </c>
      <c r="K21" s="390">
        <f t="shared" si="4"/>
        <v>0</v>
      </c>
      <c r="L21" s="390">
        <f t="shared" si="4"/>
        <v>0</v>
      </c>
      <c r="M21" s="383">
        <f t="shared" si="3"/>
        <v>18837</v>
      </c>
      <c r="N21" s="242">
        <f t="shared" si="3"/>
        <v>387215237</v>
      </c>
    </row>
    <row r="22" spans="1:16" x14ac:dyDescent="0.25">
      <c r="E22" s="242"/>
      <c r="F22" s="22"/>
      <c r="G22" s="574"/>
      <c r="M22" s="377"/>
    </row>
    <row r="23" spans="1:16" x14ac:dyDescent="0.25">
      <c r="H23" s="241"/>
      <c r="M23" s="377"/>
    </row>
    <row r="24" spans="1:16" x14ac:dyDescent="0.25">
      <c r="B24" t="s">
        <v>800</v>
      </c>
      <c r="M24" s="377"/>
      <c r="P24" s="241"/>
    </row>
    <row r="25" spans="1:16" x14ac:dyDescent="0.25">
      <c r="M25" s="377"/>
    </row>
    <row r="27" spans="1:16" x14ac:dyDescent="0.25">
      <c r="M27" s="378"/>
    </row>
  </sheetData>
  <mergeCells count="12">
    <mergeCell ref="A7:B7"/>
    <mergeCell ref="A8:A11"/>
    <mergeCell ref="A12:A14"/>
    <mergeCell ref="A18:A20"/>
    <mergeCell ref="A21:B21"/>
    <mergeCell ref="A6:B6"/>
    <mergeCell ref="C6:E6"/>
    <mergeCell ref="A1:M1"/>
    <mergeCell ref="A2:M2"/>
    <mergeCell ref="A5:B5"/>
    <mergeCell ref="C5:E5"/>
    <mergeCell ref="G5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A7D3-3C19-4A24-A563-CF7734DAF941}">
  <sheetPr>
    <tabColor theme="3" tint="0.59999389629810485"/>
  </sheetPr>
  <dimension ref="A1:N18"/>
  <sheetViews>
    <sheetView view="pageBreakPreview" topLeftCell="D1" zoomScaleNormal="100" zoomScaleSheetLayoutView="100" workbookViewId="0">
      <selection activeCell="H24" sqref="H24"/>
    </sheetView>
  </sheetViews>
  <sheetFormatPr defaultRowHeight="15" x14ac:dyDescent="0.25"/>
  <cols>
    <col min="1" max="1" width="2.5703125" bestFit="1" customWidth="1"/>
    <col min="2" max="2" width="56.85546875" customWidth="1"/>
    <col min="3" max="5" width="22.140625" customWidth="1"/>
    <col min="6" max="11" width="21.85546875" customWidth="1"/>
    <col min="12" max="12" width="18.28515625" customWidth="1"/>
    <col min="13" max="13" width="14.5703125" bestFit="1" customWidth="1"/>
    <col min="14" max="14" width="12.85546875" bestFit="1" customWidth="1"/>
  </cols>
  <sheetData>
    <row r="1" spans="1:14" ht="18.75" x14ac:dyDescent="0.3">
      <c r="A1" s="1046" t="s">
        <v>665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</row>
    <row r="2" spans="1:14" x14ac:dyDescent="0.25">
      <c r="A2" s="1047" t="s">
        <v>666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</row>
    <row r="4" spans="1:14" ht="16.5" thickBot="1" x14ac:dyDescent="0.3">
      <c r="B4" s="235"/>
      <c r="C4" s="236"/>
      <c r="D4" s="236"/>
      <c r="E4" s="236"/>
    </row>
    <row r="5" spans="1:14" ht="36.75" customHeight="1" x14ac:dyDescent="0.25">
      <c r="A5" s="1048" t="s">
        <v>652</v>
      </c>
      <c r="B5" s="1049"/>
      <c r="C5" s="1050" t="s">
        <v>623</v>
      </c>
      <c r="D5" s="1052"/>
      <c r="E5" s="237" t="s">
        <v>624</v>
      </c>
      <c r="F5" s="1050" t="s">
        <v>625</v>
      </c>
      <c r="G5" s="1052"/>
      <c r="H5" s="237" t="s">
        <v>702</v>
      </c>
      <c r="I5" s="237" t="s">
        <v>798</v>
      </c>
      <c r="J5" s="237" t="s">
        <v>899</v>
      </c>
      <c r="K5" s="237" t="s">
        <v>1189</v>
      </c>
      <c r="L5" s="238" t="s">
        <v>626</v>
      </c>
    </row>
    <row r="6" spans="1:14" ht="22.5" customHeight="1" thickBot="1" x14ac:dyDescent="0.3">
      <c r="A6" s="1041" t="s">
        <v>653</v>
      </c>
      <c r="B6" s="1042"/>
      <c r="C6" s="767">
        <v>294598883</v>
      </c>
      <c r="D6" s="768">
        <v>294526877</v>
      </c>
      <c r="E6" s="768"/>
      <c r="F6" s="1065">
        <v>220949160</v>
      </c>
      <c r="G6" s="1066"/>
      <c r="H6" s="768">
        <v>73577717</v>
      </c>
      <c r="I6" s="768" t="s">
        <v>78</v>
      </c>
      <c r="J6" s="768"/>
      <c r="K6" s="768"/>
      <c r="L6" s="239">
        <f>+D6-F6-H6</f>
        <v>0</v>
      </c>
    </row>
    <row r="7" spans="1:14" ht="45" x14ac:dyDescent="0.25">
      <c r="A7" s="1053" t="s">
        <v>628</v>
      </c>
      <c r="B7" s="1054"/>
      <c r="C7" s="240" t="s">
        <v>709</v>
      </c>
      <c r="D7" s="237" t="s">
        <v>710</v>
      </c>
      <c r="E7" s="237" t="s">
        <v>630</v>
      </c>
      <c r="F7" s="237" t="s">
        <v>631</v>
      </c>
      <c r="G7" s="379" t="s">
        <v>711</v>
      </c>
      <c r="H7" s="379" t="s">
        <v>703</v>
      </c>
      <c r="I7" s="379" t="s">
        <v>797</v>
      </c>
      <c r="J7" s="379" t="s">
        <v>898</v>
      </c>
      <c r="K7" s="379" t="s">
        <v>1190</v>
      </c>
      <c r="L7" s="238" t="s">
        <v>712</v>
      </c>
    </row>
    <row r="8" spans="1:14" ht="33" customHeight="1" x14ac:dyDescent="0.25">
      <c r="A8" s="584" t="s">
        <v>3</v>
      </c>
      <c r="B8" s="585" t="s">
        <v>667</v>
      </c>
      <c r="C8" s="586">
        <v>327478361</v>
      </c>
      <c r="D8" s="769">
        <v>327478361</v>
      </c>
      <c r="E8" s="770"/>
      <c r="F8" s="771">
        <v>81333782</v>
      </c>
      <c r="G8" s="771">
        <f>64044710*1.27</f>
        <v>81336781.700000003</v>
      </c>
      <c r="H8" s="771">
        <f>192134128+51876214</f>
        <v>244010342</v>
      </c>
      <c r="I8" s="771" t="s">
        <v>78</v>
      </c>
      <c r="J8" s="771" t="s">
        <v>78</v>
      </c>
      <c r="K8" s="771" t="s">
        <v>78</v>
      </c>
      <c r="L8" s="1061">
        <v>0</v>
      </c>
    </row>
    <row r="9" spans="1:14" ht="45" x14ac:dyDescent="0.25">
      <c r="A9" s="584" t="s">
        <v>4</v>
      </c>
      <c r="B9" s="587" t="s">
        <v>668</v>
      </c>
      <c r="C9" s="588">
        <f>6809560+1200000</f>
        <v>8009560</v>
      </c>
      <c r="D9" s="462">
        <v>8693177</v>
      </c>
      <c r="E9" s="463">
        <v>1736000</v>
      </c>
      <c r="F9" s="771">
        <v>6757177</v>
      </c>
      <c r="G9" s="771">
        <v>6757177</v>
      </c>
      <c r="H9" s="771">
        <v>200000</v>
      </c>
      <c r="I9" s="771" t="s">
        <v>78</v>
      </c>
      <c r="J9" s="771" t="s">
        <v>78</v>
      </c>
      <c r="K9" s="771" t="s">
        <v>78</v>
      </c>
      <c r="L9" s="1062"/>
      <c r="N9" s="241">
        <f>+E9+G9+H9</f>
        <v>8693177</v>
      </c>
    </row>
    <row r="10" spans="1:14" ht="23.25" customHeight="1" x14ac:dyDescent="0.25">
      <c r="A10" s="584" t="s">
        <v>5</v>
      </c>
      <c r="B10" s="589" t="s">
        <v>659</v>
      </c>
      <c r="C10" s="588">
        <v>1270000</v>
      </c>
      <c r="D10" s="462">
        <v>762000</v>
      </c>
      <c r="E10" s="463"/>
      <c r="F10" s="771">
        <v>862000</v>
      </c>
      <c r="G10" s="771">
        <v>762000</v>
      </c>
      <c r="H10" s="771"/>
      <c r="I10" s="771" t="s">
        <v>78</v>
      </c>
      <c r="J10" s="771" t="s">
        <v>78</v>
      </c>
      <c r="K10" s="771" t="s">
        <v>78</v>
      </c>
      <c r="L10" s="1062"/>
    </row>
    <row r="11" spans="1:14" ht="23.25" customHeight="1" x14ac:dyDescent="0.25">
      <c r="A11" s="584" t="s">
        <v>6</v>
      </c>
      <c r="B11" s="590" t="s">
        <v>660</v>
      </c>
      <c r="C11" s="586">
        <v>3429000</v>
      </c>
      <c r="D11" s="769">
        <v>3429000</v>
      </c>
      <c r="E11" s="770"/>
      <c r="F11" s="771"/>
      <c r="G11" s="771"/>
      <c r="H11" s="771">
        <v>3429000</v>
      </c>
      <c r="I11" s="771" t="s">
        <v>78</v>
      </c>
      <c r="J11" s="771" t="s">
        <v>78</v>
      </c>
      <c r="K11" s="771" t="s">
        <v>78</v>
      </c>
      <c r="L11" s="1062"/>
    </row>
    <row r="12" spans="1:14" ht="23.25" customHeight="1" x14ac:dyDescent="0.25">
      <c r="A12" s="584" t="s">
        <v>7</v>
      </c>
      <c r="B12" s="590" t="s">
        <v>669</v>
      </c>
      <c r="C12" s="586">
        <v>6000000</v>
      </c>
      <c r="D12" s="769">
        <v>5739670</v>
      </c>
      <c r="E12" s="770"/>
      <c r="F12" s="771"/>
      <c r="G12" s="771"/>
      <c r="H12" s="771">
        <v>5739670</v>
      </c>
      <c r="I12" s="771" t="s">
        <v>78</v>
      </c>
      <c r="J12" s="771" t="s">
        <v>78</v>
      </c>
      <c r="K12" s="771" t="s">
        <v>78</v>
      </c>
      <c r="L12" s="1062"/>
      <c r="M12" s="380">
        <v>357023</v>
      </c>
      <c r="N12" t="s">
        <v>713</v>
      </c>
    </row>
    <row r="13" spans="1:14" ht="23.25" customHeight="1" thickBot="1" x14ac:dyDescent="0.3">
      <c r="A13" s="584" t="s">
        <v>8</v>
      </c>
      <c r="B13" s="590" t="s">
        <v>662</v>
      </c>
      <c r="C13" s="586">
        <v>400000</v>
      </c>
      <c r="D13" s="769">
        <v>400000</v>
      </c>
      <c r="E13" s="770"/>
      <c r="F13" s="771"/>
      <c r="G13" s="771"/>
      <c r="H13" s="771">
        <v>400000</v>
      </c>
      <c r="I13" s="771" t="s">
        <v>78</v>
      </c>
      <c r="J13" s="771" t="s">
        <v>78</v>
      </c>
      <c r="K13" s="771" t="s">
        <v>78</v>
      </c>
      <c r="L13" s="1063"/>
    </row>
    <row r="14" spans="1:14" ht="24.75" customHeight="1" thickBot="1" x14ac:dyDescent="0.3">
      <c r="A14" s="1059" t="s">
        <v>632</v>
      </c>
      <c r="B14" s="1060"/>
      <c r="C14" s="248">
        <f>SUM(C8:C13)</f>
        <v>346586921</v>
      </c>
      <c r="D14" s="248">
        <f t="shared" ref="D14:L14" si="0">SUM(D8:D13)</f>
        <v>346502208</v>
      </c>
      <c r="E14" s="381">
        <f t="shared" si="0"/>
        <v>1736000</v>
      </c>
      <c r="F14" s="382">
        <f t="shared" si="0"/>
        <v>88952959</v>
      </c>
      <c r="G14" s="382">
        <f t="shared" si="0"/>
        <v>88855958.700000003</v>
      </c>
      <c r="H14" s="382">
        <f t="shared" si="0"/>
        <v>253779012</v>
      </c>
      <c r="I14" s="382">
        <f t="shared" si="0"/>
        <v>0</v>
      </c>
      <c r="J14" s="382">
        <f t="shared" si="0"/>
        <v>0</v>
      </c>
      <c r="K14" s="382">
        <f t="shared" si="0"/>
        <v>0</v>
      </c>
      <c r="L14" s="391">
        <f t="shared" si="0"/>
        <v>0</v>
      </c>
      <c r="M14" s="241"/>
    </row>
    <row r="15" spans="1:14" s="60" customFormat="1" ht="34.5" customHeight="1" x14ac:dyDescent="0.25">
      <c r="A15" s="1064" t="s">
        <v>946</v>
      </c>
      <c r="B15" s="1064"/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</row>
    <row r="17" spans="6:11" x14ac:dyDescent="0.25">
      <c r="F17" s="241">
        <f>+E14+G14+H14</f>
        <v>344370970.69999999</v>
      </c>
      <c r="H17" s="384">
        <f>+'[3]Beadott számla 2'!$M$39+'[3]Beadott számla 2'!$M$41</f>
        <v>253779013.56</v>
      </c>
      <c r="I17" s="384"/>
      <c r="J17" s="384"/>
      <c r="K17" s="384"/>
    </row>
    <row r="18" spans="6:11" x14ac:dyDescent="0.25">
      <c r="H18" s="241">
        <f>+H17-H14</f>
        <v>1.5600000023841858</v>
      </c>
      <c r="I18" s="241"/>
      <c r="J18" s="241"/>
      <c r="K18" s="241"/>
    </row>
  </sheetData>
  <mergeCells count="11">
    <mergeCell ref="A7:B7"/>
    <mergeCell ref="L8:L13"/>
    <mergeCell ref="A14:B14"/>
    <mergeCell ref="A15:L15"/>
    <mergeCell ref="A1:L1"/>
    <mergeCell ref="A2:L2"/>
    <mergeCell ref="A5:B5"/>
    <mergeCell ref="C5:D5"/>
    <mergeCell ref="F5:G5"/>
    <mergeCell ref="A6:B6"/>
    <mergeCell ref="F6:G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47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1E2CF-1462-402F-8321-4ACE2486CBB9}">
  <sheetPr>
    <tabColor theme="3" tint="0.59999389629810485"/>
  </sheetPr>
  <dimension ref="A1:P25"/>
  <sheetViews>
    <sheetView view="pageBreakPreview" zoomScaleNormal="100" zoomScaleSheetLayoutView="100" workbookViewId="0">
      <selection activeCell="A17" sqref="A17:J18"/>
    </sheetView>
  </sheetViews>
  <sheetFormatPr defaultRowHeight="15" x14ac:dyDescent="0.25"/>
  <cols>
    <col min="1" max="1" width="6.7109375" customWidth="1"/>
    <col min="2" max="2" width="42.85546875" customWidth="1"/>
    <col min="3" max="3" width="14.5703125" bestFit="1" customWidth="1"/>
    <col min="4" max="4" width="17.140625" customWidth="1"/>
    <col min="5" max="5" width="20.28515625" customWidth="1"/>
    <col min="6" max="9" width="20.140625" customWidth="1"/>
    <col min="10" max="10" width="17.140625" customWidth="1"/>
    <col min="11" max="11" width="13.7109375" customWidth="1"/>
    <col min="12" max="12" width="12.85546875" customWidth="1"/>
    <col min="16" max="16" width="9.5703125" bestFit="1" customWidth="1"/>
  </cols>
  <sheetData>
    <row r="1" spans="1:16" ht="18.75" x14ac:dyDescent="0.3">
      <c r="A1" s="1046" t="s">
        <v>715</v>
      </c>
      <c r="B1" s="1046"/>
      <c r="C1" s="1046"/>
      <c r="D1" s="1046"/>
      <c r="E1" s="1046"/>
      <c r="F1" s="1046"/>
      <c r="G1" s="1046"/>
      <c r="H1" s="1046"/>
      <c r="I1" s="1046"/>
      <c r="J1" s="1046"/>
    </row>
    <row r="2" spans="1:16" ht="15" customHeight="1" x14ac:dyDescent="0.25">
      <c r="A2" s="1047" t="s">
        <v>716</v>
      </c>
      <c r="B2" s="1047"/>
      <c r="C2" s="1047"/>
      <c r="D2" s="1047"/>
      <c r="E2" s="1047"/>
      <c r="F2" s="1047"/>
      <c r="G2" s="1047"/>
      <c r="H2" s="1047"/>
      <c r="I2" s="1047"/>
      <c r="J2" s="1047"/>
    </row>
    <row r="4" spans="1:16" ht="16.5" thickBot="1" x14ac:dyDescent="0.3">
      <c r="B4" s="235"/>
      <c r="C4" s="236"/>
      <c r="D4" s="236"/>
    </row>
    <row r="5" spans="1:16" ht="60" x14ac:dyDescent="0.25">
      <c r="A5" s="1048" t="s">
        <v>652</v>
      </c>
      <c r="B5" s="1049"/>
      <c r="C5" s="573" t="s">
        <v>623</v>
      </c>
      <c r="D5" s="237" t="s">
        <v>717</v>
      </c>
      <c r="E5" s="237" t="s">
        <v>704</v>
      </c>
      <c r="F5" s="237" t="s">
        <v>718</v>
      </c>
      <c r="G5" s="237" t="s">
        <v>796</v>
      </c>
      <c r="H5" s="237" t="s">
        <v>902</v>
      </c>
      <c r="I5" s="237" t="s">
        <v>1191</v>
      </c>
      <c r="J5" s="388" t="s">
        <v>900</v>
      </c>
    </row>
    <row r="6" spans="1:16" ht="37.5" customHeight="1" thickBot="1" x14ac:dyDescent="0.3">
      <c r="A6" s="1041" t="s">
        <v>719</v>
      </c>
      <c r="B6" s="1042"/>
      <c r="C6" s="767">
        <v>192217756</v>
      </c>
      <c r="D6" s="768"/>
      <c r="E6" s="768"/>
      <c r="F6" s="768">
        <v>100767561</v>
      </c>
      <c r="G6" s="768">
        <v>91450195</v>
      </c>
      <c r="H6" s="768"/>
      <c r="I6" s="768"/>
      <c r="J6" s="239" t="s">
        <v>78</v>
      </c>
    </row>
    <row r="7" spans="1:16" ht="45" x14ac:dyDescent="0.25">
      <c r="A7" s="1053" t="s">
        <v>628</v>
      </c>
      <c r="B7" s="1054"/>
      <c r="C7" s="237" t="s">
        <v>629</v>
      </c>
      <c r="D7" s="237" t="s">
        <v>630</v>
      </c>
      <c r="E7" s="237" t="s">
        <v>631</v>
      </c>
      <c r="F7" s="237" t="s">
        <v>703</v>
      </c>
      <c r="G7" s="237" t="s">
        <v>797</v>
      </c>
      <c r="H7" s="237" t="s">
        <v>898</v>
      </c>
      <c r="I7" s="237" t="s">
        <v>1190</v>
      </c>
      <c r="J7" s="388" t="s">
        <v>901</v>
      </c>
    </row>
    <row r="8" spans="1:16" x14ac:dyDescent="0.25">
      <c r="A8" s="584" t="s">
        <v>3</v>
      </c>
      <c r="B8" s="579" t="s">
        <v>720</v>
      </c>
      <c r="C8" s="591">
        <v>97295894</v>
      </c>
      <c r="D8" s="772" t="s">
        <v>78</v>
      </c>
      <c r="E8" s="772" t="s">
        <v>78</v>
      </c>
      <c r="F8" s="773">
        <v>46215549</v>
      </c>
      <c r="G8" s="576">
        <v>51080345</v>
      </c>
      <c r="H8" s="575" t="s">
        <v>78</v>
      </c>
      <c r="I8" s="575" t="s">
        <v>78</v>
      </c>
      <c r="J8" s="1071">
        <v>287632</v>
      </c>
    </row>
    <row r="9" spans="1:16" ht="30" x14ac:dyDescent="0.25">
      <c r="A9" s="584" t="s">
        <v>4</v>
      </c>
      <c r="B9" s="579" t="s">
        <v>721</v>
      </c>
      <c r="C9" s="591">
        <v>91841599</v>
      </c>
      <c r="D9" s="772" t="s">
        <v>78</v>
      </c>
      <c r="E9" s="772" t="s">
        <v>78</v>
      </c>
      <c r="F9" s="773">
        <v>43624759</v>
      </c>
      <c r="G9" s="576">
        <v>48216840</v>
      </c>
      <c r="H9" s="575" t="s">
        <v>78</v>
      </c>
      <c r="I9" s="575" t="s">
        <v>78</v>
      </c>
      <c r="J9" s="1072"/>
    </row>
    <row r="10" spans="1:16" ht="30" x14ac:dyDescent="0.25">
      <c r="A10" s="584" t="s">
        <v>5</v>
      </c>
      <c r="B10" s="581" t="s">
        <v>722</v>
      </c>
      <c r="C10" s="591">
        <v>8216900</v>
      </c>
      <c r="D10" s="772">
        <v>596900</v>
      </c>
      <c r="E10" s="772" t="s">
        <v>78</v>
      </c>
      <c r="F10" s="773">
        <v>7302500</v>
      </c>
      <c r="G10" s="576">
        <v>317500</v>
      </c>
      <c r="H10" s="575" t="s">
        <v>78</v>
      </c>
      <c r="I10" s="575" t="s">
        <v>78</v>
      </c>
      <c r="J10" s="1072"/>
    </row>
    <row r="11" spans="1:16" x14ac:dyDescent="0.25">
      <c r="A11" s="584" t="s">
        <v>6</v>
      </c>
      <c r="B11" s="579" t="s">
        <v>723</v>
      </c>
      <c r="C11" s="591">
        <v>762000</v>
      </c>
      <c r="D11" s="772" t="s">
        <v>78</v>
      </c>
      <c r="E11" s="772" t="s">
        <v>78</v>
      </c>
      <c r="F11" s="773">
        <v>762000</v>
      </c>
      <c r="G11" s="576" t="s">
        <v>78</v>
      </c>
      <c r="H11" s="575" t="s">
        <v>78</v>
      </c>
      <c r="I11" s="575" t="s">
        <v>78</v>
      </c>
      <c r="J11" s="1072"/>
    </row>
    <row r="12" spans="1:16" ht="30" x14ac:dyDescent="0.25">
      <c r="A12" s="584" t="s">
        <v>7</v>
      </c>
      <c r="B12" s="579" t="s">
        <v>724</v>
      </c>
      <c r="C12" s="591">
        <v>3073400</v>
      </c>
      <c r="D12" s="774" t="s">
        <v>78</v>
      </c>
      <c r="E12" s="774" t="s">
        <v>78</v>
      </c>
      <c r="F12" s="775">
        <v>1170440</v>
      </c>
      <c r="G12" s="577">
        <v>1615328</v>
      </c>
      <c r="H12" s="593" t="s">
        <v>78</v>
      </c>
      <c r="I12" s="593" t="s">
        <v>78</v>
      </c>
      <c r="J12" s="1072"/>
      <c r="K12" s="1067" t="s">
        <v>801</v>
      </c>
      <c r="L12" s="1068"/>
    </row>
    <row r="13" spans="1:16" ht="30" x14ac:dyDescent="0.25">
      <c r="A13" s="584" t="s">
        <v>8</v>
      </c>
      <c r="B13" s="579" t="s">
        <v>725</v>
      </c>
      <c r="C13" s="591">
        <v>292100</v>
      </c>
      <c r="D13" s="774" t="s">
        <v>78</v>
      </c>
      <c r="E13" s="774" t="s">
        <v>78</v>
      </c>
      <c r="F13" s="775">
        <v>170180</v>
      </c>
      <c r="G13" s="577">
        <v>121920</v>
      </c>
      <c r="H13" s="593" t="s">
        <v>78</v>
      </c>
      <c r="I13" s="593" t="s">
        <v>78</v>
      </c>
      <c r="J13" s="1072"/>
      <c r="K13" s="1067"/>
      <c r="L13" s="1068"/>
    </row>
    <row r="14" spans="1:16" ht="15.75" thickBot="1" x14ac:dyDescent="0.3">
      <c r="A14" s="584" t="s">
        <v>9</v>
      </c>
      <c r="B14" s="583" t="s">
        <v>726</v>
      </c>
      <c r="C14" s="591">
        <v>4102100</v>
      </c>
      <c r="D14" s="594" t="s">
        <v>78</v>
      </c>
      <c r="E14" s="594" t="s">
        <v>78</v>
      </c>
      <c r="F14" s="592">
        <v>1800000</v>
      </c>
      <c r="G14" s="593">
        <v>2302100</v>
      </c>
      <c r="H14" s="593" t="s">
        <v>78</v>
      </c>
      <c r="I14" s="593" t="s">
        <v>78</v>
      </c>
      <c r="J14" s="1073"/>
    </row>
    <row r="15" spans="1:16" ht="15.75" thickBot="1" x14ac:dyDescent="0.3">
      <c r="A15" s="1059" t="s">
        <v>714</v>
      </c>
      <c r="B15" s="1060"/>
      <c r="C15" s="245">
        <f t="shared" ref="C15:I15" si="0">SUM(C8:C14)</f>
        <v>205583993</v>
      </c>
      <c r="D15" s="245">
        <f t="shared" si="0"/>
        <v>596900</v>
      </c>
      <c r="E15" s="245">
        <f t="shared" si="0"/>
        <v>0</v>
      </c>
      <c r="F15" s="245">
        <f t="shared" si="0"/>
        <v>101045428</v>
      </c>
      <c r="G15" s="245">
        <f t="shared" si="0"/>
        <v>103654033</v>
      </c>
      <c r="H15" s="595">
        <f t="shared" si="0"/>
        <v>0</v>
      </c>
      <c r="I15" s="595">
        <f t="shared" si="0"/>
        <v>0</v>
      </c>
      <c r="J15" s="249">
        <f>SUM(J8:J14)</f>
        <v>287632</v>
      </c>
    </row>
    <row r="16" spans="1:16" ht="15.75" thickBot="1" x14ac:dyDescent="0.3">
      <c r="J16" s="242"/>
      <c r="P16" s="242"/>
    </row>
    <row r="17" spans="1:10" s="60" customFormat="1" ht="15" customHeight="1" x14ac:dyDescent="0.25">
      <c r="A17" s="1069" t="s">
        <v>947</v>
      </c>
      <c r="B17" s="1069"/>
      <c r="C17" s="1069"/>
      <c r="D17" s="1069"/>
      <c r="E17" s="1069"/>
      <c r="F17" s="1069"/>
      <c r="G17" s="1069"/>
      <c r="H17" s="1069"/>
      <c r="I17" s="1069"/>
      <c r="J17" s="1069"/>
    </row>
    <row r="18" spans="1:10" s="60" customFormat="1" x14ac:dyDescent="0.25">
      <c r="A18" s="1070"/>
      <c r="B18" s="1070"/>
      <c r="C18" s="1070"/>
      <c r="D18" s="1070"/>
      <c r="E18" s="1070"/>
      <c r="F18" s="1070"/>
      <c r="G18" s="1070"/>
      <c r="H18" s="1070"/>
      <c r="I18" s="1070"/>
      <c r="J18" s="1070"/>
    </row>
    <row r="23" spans="1:10" x14ac:dyDescent="0.25">
      <c r="G23" s="241"/>
      <c r="H23" s="241"/>
      <c r="I23" s="241"/>
    </row>
    <row r="25" spans="1:10" x14ac:dyDescent="0.25">
      <c r="G25" s="241"/>
      <c r="H25" s="241"/>
      <c r="I25" s="241"/>
    </row>
  </sheetData>
  <mergeCells count="9">
    <mergeCell ref="K12:L13"/>
    <mergeCell ref="A15:B15"/>
    <mergeCell ref="A17:J18"/>
    <mergeCell ref="A1:J1"/>
    <mergeCell ref="A2:J2"/>
    <mergeCell ref="A5:B5"/>
    <mergeCell ref="A6:B6"/>
    <mergeCell ref="A7:B7"/>
    <mergeCell ref="J8:J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&amp;CDunaharaszti Város Önkormányzata 
2022. évi zárszámadás&amp;R&amp;A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2996-6B4F-43AA-9D4C-B68F64F7E79A}">
  <sheetPr>
    <tabColor theme="3" tint="0.59999389629810485"/>
  </sheetPr>
  <dimension ref="A1:H16"/>
  <sheetViews>
    <sheetView view="pageBreakPreview" zoomScale="110" zoomScaleNormal="100" zoomScaleSheetLayoutView="110" workbookViewId="0">
      <selection activeCell="D14" sqref="D14:H14"/>
    </sheetView>
  </sheetViews>
  <sheetFormatPr defaultRowHeight="15" x14ac:dyDescent="0.25"/>
  <cols>
    <col min="1" max="1" width="3.28515625" customWidth="1"/>
    <col min="2" max="2" width="30.7109375" customWidth="1"/>
    <col min="3" max="4" width="20.5703125" customWidth="1"/>
    <col min="5" max="7" width="25" customWidth="1"/>
    <col min="8" max="8" width="21.28515625" customWidth="1"/>
  </cols>
  <sheetData>
    <row r="1" spans="1:8" ht="18.75" x14ac:dyDescent="0.3">
      <c r="A1" s="1046" t="s">
        <v>802</v>
      </c>
      <c r="B1" s="1046"/>
      <c r="C1" s="1046"/>
      <c r="D1" s="1046"/>
      <c r="E1" s="1046"/>
      <c r="F1" s="1046"/>
      <c r="G1" s="1046"/>
      <c r="H1" s="1046"/>
    </row>
    <row r="2" spans="1:8" x14ac:dyDescent="0.25">
      <c r="A2" s="1047" t="s">
        <v>803</v>
      </c>
      <c r="B2" s="1047"/>
      <c r="C2" s="1047"/>
      <c r="D2" s="1047"/>
      <c r="E2" s="1047"/>
      <c r="F2" s="1047"/>
      <c r="G2" s="1047"/>
      <c r="H2" s="1047"/>
    </row>
    <row r="4" spans="1:8" ht="16.5" thickBot="1" x14ac:dyDescent="0.3">
      <c r="B4" s="235"/>
      <c r="C4" s="236"/>
      <c r="D4" s="236"/>
    </row>
    <row r="5" spans="1:8" ht="45" x14ac:dyDescent="0.25">
      <c r="A5" s="1048" t="s">
        <v>652</v>
      </c>
      <c r="B5" s="1049"/>
      <c r="C5" s="237" t="s">
        <v>623</v>
      </c>
      <c r="D5" s="237" t="s">
        <v>718</v>
      </c>
      <c r="E5" s="237" t="s">
        <v>796</v>
      </c>
      <c r="F5" s="237" t="s">
        <v>902</v>
      </c>
      <c r="G5" s="237" t="s">
        <v>1191</v>
      </c>
      <c r="H5" s="238" t="s">
        <v>626</v>
      </c>
    </row>
    <row r="6" spans="1:8" ht="15.75" thickBot="1" x14ac:dyDescent="0.3">
      <c r="A6" s="1041" t="s">
        <v>804</v>
      </c>
      <c r="B6" s="1042"/>
      <c r="C6" s="767">
        <v>480000000</v>
      </c>
      <c r="D6" s="768"/>
      <c r="E6" s="768">
        <v>480000000</v>
      </c>
      <c r="F6" s="768"/>
      <c r="G6" s="768"/>
      <c r="H6" s="239" t="s">
        <v>78</v>
      </c>
    </row>
    <row r="7" spans="1:8" ht="45" x14ac:dyDescent="0.25">
      <c r="A7" s="1053" t="s">
        <v>628</v>
      </c>
      <c r="B7" s="1054"/>
      <c r="C7" s="240" t="s">
        <v>629</v>
      </c>
      <c r="D7" s="237" t="s">
        <v>703</v>
      </c>
      <c r="E7" s="237" t="s">
        <v>797</v>
      </c>
      <c r="F7" s="237" t="s">
        <v>898</v>
      </c>
      <c r="G7" s="237" t="s">
        <v>1190</v>
      </c>
      <c r="H7" s="238" t="s">
        <v>626</v>
      </c>
    </row>
    <row r="8" spans="1:8" x14ac:dyDescent="0.25">
      <c r="A8" s="584" t="s">
        <v>3</v>
      </c>
      <c r="B8" s="579" t="s">
        <v>805</v>
      </c>
      <c r="C8" s="586">
        <v>574999330</v>
      </c>
      <c r="D8" s="586"/>
      <c r="E8" s="586"/>
      <c r="F8" s="586"/>
      <c r="G8" s="771">
        <f>37273885</f>
        <v>37273885</v>
      </c>
      <c r="H8" s="586">
        <f>+C8-D8-E8-F8-G8</f>
        <v>537725445</v>
      </c>
    </row>
    <row r="9" spans="1:8" ht="30" x14ac:dyDescent="0.25">
      <c r="A9" s="584" t="s">
        <v>4</v>
      </c>
      <c r="B9" s="579" t="s">
        <v>806</v>
      </c>
      <c r="C9" s="586">
        <v>30200000</v>
      </c>
      <c r="D9" s="769">
        <v>7429500</v>
      </c>
      <c r="E9" s="771">
        <f>2400000</f>
        <v>2400000</v>
      </c>
      <c r="F9" s="771">
        <v>20167300</v>
      </c>
      <c r="G9" s="771">
        <v>247650</v>
      </c>
      <c r="H9" s="586">
        <f t="shared" ref="H9:H13" si="0">+C9-D9-E9-F9-G9</f>
        <v>-44450</v>
      </c>
    </row>
    <row r="10" spans="1:8" ht="30" x14ac:dyDescent="0.25">
      <c r="A10" s="584" t="s">
        <v>5</v>
      </c>
      <c r="B10" s="581" t="s">
        <v>807</v>
      </c>
      <c r="C10" s="586">
        <v>5842000</v>
      </c>
      <c r="D10" s="769"/>
      <c r="E10" s="769"/>
      <c r="F10" s="769"/>
      <c r="G10" s="771">
        <v>3810000</v>
      </c>
      <c r="H10" s="586">
        <f t="shared" si="0"/>
        <v>2032000</v>
      </c>
    </row>
    <row r="11" spans="1:8" ht="30" x14ac:dyDescent="0.25">
      <c r="A11" s="584" t="s">
        <v>6</v>
      </c>
      <c r="B11" s="579" t="s">
        <v>808</v>
      </c>
      <c r="C11" s="586">
        <v>5842000</v>
      </c>
      <c r="D11" s="769"/>
      <c r="E11" s="769"/>
      <c r="F11" s="769"/>
      <c r="G11" s="771">
        <v>2654300</v>
      </c>
      <c r="H11" s="586">
        <f t="shared" si="0"/>
        <v>3187700</v>
      </c>
    </row>
    <row r="12" spans="1:8" x14ac:dyDescent="0.25">
      <c r="A12" s="584" t="s">
        <v>7</v>
      </c>
      <c r="B12" s="579" t="s">
        <v>809</v>
      </c>
      <c r="C12" s="586">
        <v>10200528</v>
      </c>
      <c r="D12" s="769"/>
      <c r="E12" s="769"/>
      <c r="F12" s="769"/>
      <c r="G12" s="769"/>
      <c r="H12" s="586">
        <f t="shared" si="0"/>
        <v>10200528</v>
      </c>
    </row>
    <row r="13" spans="1:8" ht="30.75" thickBot="1" x14ac:dyDescent="0.3">
      <c r="A13" s="584" t="s">
        <v>8</v>
      </c>
      <c r="B13" s="579" t="s">
        <v>810</v>
      </c>
      <c r="C13" s="586">
        <v>399923</v>
      </c>
      <c r="D13" s="769"/>
      <c r="E13" s="769"/>
      <c r="F13" s="769"/>
      <c r="G13" s="769"/>
      <c r="H13" s="586">
        <f t="shared" si="0"/>
        <v>399923</v>
      </c>
    </row>
    <row r="14" spans="1:8" ht="15.75" thickBot="1" x14ac:dyDescent="0.3">
      <c r="A14" s="1059" t="s">
        <v>714</v>
      </c>
      <c r="B14" s="1060"/>
      <c r="C14" s="245">
        <f t="shared" ref="C14:H14" si="1">SUM(C8:C13)</f>
        <v>627483781</v>
      </c>
      <c r="D14" s="245">
        <f t="shared" si="1"/>
        <v>7429500</v>
      </c>
      <c r="E14" s="392">
        <f t="shared" si="1"/>
        <v>2400000</v>
      </c>
      <c r="F14" s="392">
        <f t="shared" si="1"/>
        <v>20167300</v>
      </c>
      <c r="G14" s="392">
        <f t="shared" si="1"/>
        <v>43985835</v>
      </c>
      <c r="H14" s="393">
        <f t="shared" si="1"/>
        <v>553501146</v>
      </c>
    </row>
    <row r="16" spans="1:8" ht="33.75" customHeight="1" x14ac:dyDescent="0.25">
      <c r="A16" s="1074" t="s">
        <v>903</v>
      </c>
      <c r="B16" s="1074"/>
      <c r="C16" s="1074"/>
      <c r="D16" s="1074"/>
      <c r="E16" s="1074"/>
      <c r="F16" s="1074"/>
      <c r="G16" s="1074"/>
      <c r="H16" s="1074"/>
    </row>
  </sheetData>
  <mergeCells count="7">
    <mergeCell ref="A16:H16"/>
    <mergeCell ref="A1:H1"/>
    <mergeCell ref="A2:H2"/>
    <mergeCell ref="A5:B5"/>
    <mergeCell ref="A6:B6"/>
    <mergeCell ref="A7:B7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M35"/>
  <sheetViews>
    <sheetView view="pageBreakPreview" topLeftCell="A16" zoomScale="70" zoomScaleNormal="100" zoomScaleSheetLayoutView="70" zoomScalePageLayoutView="70" workbookViewId="0">
      <selection activeCell="G33" sqref="G33"/>
    </sheetView>
  </sheetViews>
  <sheetFormatPr defaultColWidth="9.140625" defaultRowHeight="15" x14ac:dyDescent="0.25"/>
  <cols>
    <col min="1" max="1" width="8.140625" customWidth="1"/>
    <col min="3" max="3" width="64.28515625" customWidth="1"/>
    <col min="4" max="11" width="23.85546875" customWidth="1"/>
    <col min="12" max="12" width="22.42578125" customWidth="1"/>
    <col min="13" max="13" width="25.7109375" style="645" customWidth="1"/>
  </cols>
  <sheetData>
    <row r="1" spans="1:13" ht="36.75" customHeight="1" x14ac:dyDescent="0.35">
      <c r="A1" s="813" t="s">
        <v>0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</row>
    <row r="2" spans="1:13" ht="40.5" customHeight="1" x14ac:dyDescent="0.25"/>
    <row r="3" spans="1:13" ht="19.5" customHeight="1" x14ac:dyDescent="0.3">
      <c r="A3" s="814" t="s">
        <v>1</v>
      </c>
      <c r="B3" s="816" t="s">
        <v>2</v>
      </c>
      <c r="C3" s="817"/>
      <c r="D3" s="703" t="s">
        <v>3</v>
      </c>
      <c r="E3" s="703" t="s">
        <v>4</v>
      </c>
      <c r="F3" s="703" t="s">
        <v>5</v>
      </c>
      <c r="G3" s="703" t="s">
        <v>6</v>
      </c>
      <c r="H3" s="703" t="s">
        <v>7</v>
      </c>
      <c r="I3" s="703" t="s">
        <v>8</v>
      </c>
      <c r="J3" s="703" t="s">
        <v>9</v>
      </c>
      <c r="K3" s="703" t="s">
        <v>23</v>
      </c>
      <c r="L3" s="707" t="s">
        <v>25</v>
      </c>
      <c r="M3" s="820" t="s">
        <v>10</v>
      </c>
    </row>
    <row r="4" spans="1:13" ht="78" x14ac:dyDescent="0.25">
      <c r="A4" s="815"/>
      <c r="B4" s="818"/>
      <c r="C4" s="819"/>
      <c r="D4" s="702" t="s">
        <v>11</v>
      </c>
      <c r="E4" s="702" t="s">
        <v>12</v>
      </c>
      <c r="F4" s="702" t="s">
        <v>13</v>
      </c>
      <c r="G4" s="702" t="s">
        <v>14</v>
      </c>
      <c r="H4" s="702" t="s">
        <v>15</v>
      </c>
      <c r="I4" s="702" t="s">
        <v>568</v>
      </c>
      <c r="J4" s="702" t="s">
        <v>566</v>
      </c>
      <c r="K4" s="702" t="s">
        <v>565</v>
      </c>
      <c r="L4" s="708" t="s">
        <v>38</v>
      </c>
      <c r="M4" s="821"/>
    </row>
    <row r="5" spans="1:13" ht="23.25" x14ac:dyDescent="0.3">
      <c r="A5" s="464" t="s">
        <v>3</v>
      </c>
      <c r="B5" s="822" t="s">
        <v>16</v>
      </c>
      <c r="C5" s="823"/>
      <c r="D5" s="247">
        <v>39230893</v>
      </c>
      <c r="E5" s="247">
        <v>18170479</v>
      </c>
      <c r="F5" s="247">
        <v>335566368</v>
      </c>
      <c r="G5" s="247">
        <v>2293821</v>
      </c>
      <c r="H5" s="247">
        <v>919835</v>
      </c>
      <c r="I5" s="247">
        <v>255640</v>
      </c>
      <c r="J5" s="247">
        <v>1396018</v>
      </c>
      <c r="K5" s="247">
        <v>12722766</v>
      </c>
      <c r="L5" s="651">
        <v>3430531</v>
      </c>
      <c r="M5" s="646">
        <f t="shared" ref="M5:M34" si="0">SUM(D5:L5)</f>
        <v>413986351</v>
      </c>
    </row>
    <row r="6" spans="1:13" ht="23.25" customHeight="1" x14ac:dyDescent="0.3">
      <c r="A6" s="464" t="s">
        <v>4</v>
      </c>
      <c r="B6" s="809" t="s">
        <v>17</v>
      </c>
      <c r="C6" s="810"/>
      <c r="D6" s="165">
        <v>870303476</v>
      </c>
      <c r="E6" s="165">
        <v>397550806</v>
      </c>
      <c r="F6" s="165">
        <v>966502833</v>
      </c>
      <c r="G6" s="165">
        <v>475056109</v>
      </c>
      <c r="H6" s="165">
        <v>331133682</v>
      </c>
      <c r="I6" s="165">
        <v>289435661</v>
      </c>
      <c r="J6" s="165">
        <v>82762591</v>
      </c>
      <c r="K6" s="165">
        <v>134851429</v>
      </c>
      <c r="L6" s="652">
        <v>83705208</v>
      </c>
      <c r="M6" s="646">
        <f t="shared" si="0"/>
        <v>3631301795</v>
      </c>
    </row>
    <row r="7" spans="1:13" ht="81" customHeight="1" x14ac:dyDescent="0.3">
      <c r="A7" s="465" t="s">
        <v>5</v>
      </c>
      <c r="B7" s="807" t="s">
        <v>18</v>
      </c>
      <c r="C7" s="808"/>
      <c r="D7" s="246">
        <f t="shared" ref="D7:L7" si="1">+D5-D6</f>
        <v>-831072583</v>
      </c>
      <c r="E7" s="246">
        <f t="shared" si="1"/>
        <v>-379380327</v>
      </c>
      <c r="F7" s="246">
        <f>+F5-F6</f>
        <v>-630936465</v>
      </c>
      <c r="G7" s="246">
        <f>+G5-G6</f>
        <v>-472762288</v>
      </c>
      <c r="H7" s="246">
        <f t="shared" si="1"/>
        <v>-330213847</v>
      </c>
      <c r="I7" s="246">
        <f t="shared" si="1"/>
        <v>-289180021</v>
      </c>
      <c r="J7" s="246">
        <f t="shared" si="1"/>
        <v>-81366573</v>
      </c>
      <c r="K7" s="246">
        <f t="shared" si="1"/>
        <v>-122128663</v>
      </c>
      <c r="L7" s="653">
        <f t="shared" si="1"/>
        <v>-80274677</v>
      </c>
      <c r="M7" s="647">
        <f t="shared" si="0"/>
        <v>-3217315444</v>
      </c>
    </row>
    <row r="8" spans="1:13" ht="23.25" customHeight="1" x14ac:dyDescent="0.3">
      <c r="A8" s="464" t="s">
        <v>6</v>
      </c>
      <c r="B8" s="809" t="s">
        <v>19</v>
      </c>
      <c r="C8" s="810"/>
      <c r="D8" s="165">
        <v>869910439</v>
      </c>
      <c r="E8" s="165">
        <v>392013075</v>
      </c>
      <c r="F8" s="165">
        <v>715045025</v>
      </c>
      <c r="G8" s="165">
        <v>481896822</v>
      </c>
      <c r="H8" s="165">
        <v>346511305</v>
      </c>
      <c r="I8" s="165">
        <v>300088852</v>
      </c>
      <c r="J8" s="165">
        <v>86541368</v>
      </c>
      <c r="K8" s="165">
        <v>131158638</v>
      </c>
      <c r="L8" s="652">
        <v>85301526</v>
      </c>
      <c r="M8" s="646">
        <f t="shared" si="0"/>
        <v>3408467050</v>
      </c>
    </row>
    <row r="9" spans="1:13" ht="23.25" customHeight="1" x14ac:dyDescent="0.3">
      <c r="A9" s="464" t="s">
        <v>7</v>
      </c>
      <c r="B9" s="809" t="s">
        <v>20</v>
      </c>
      <c r="C9" s="810"/>
      <c r="D9" s="165"/>
      <c r="E9" s="165"/>
      <c r="F9" s="165"/>
      <c r="G9" s="165"/>
      <c r="H9" s="165"/>
      <c r="I9" s="165"/>
      <c r="J9" s="165"/>
      <c r="K9" s="165"/>
      <c r="L9" s="652"/>
      <c r="M9" s="646">
        <f t="shared" si="0"/>
        <v>0</v>
      </c>
    </row>
    <row r="10" spans="1:13" ht="88.5" customHeight="1" x14ac:dyDescent="0.3">
      <c r="A10" s="466" t="s">
        <v>8</v>
      </c>
      <c r="B10" s="811" t="s">
        <v>21</v>
      </c>
      <c r="C10" s="812"/>
      <c r="D10" s="166">
        <f t="shared" ref="D10:L10" si="2">+D8-D9</f>
        <v>869910439</v>
      </c>
      <c r="E10" s="166">
        <f t="shared" si="2"/>
        <v>392013075</v>
      </c>
      <c r="F10" s="166">
        <f t="shared" si="2"/>
        <v>715045025</v>
      </c>
      <c r="G10" s="166">
        <f t="shared" si="2"/>
        <v>481896822</v>
      </c>
      <c r="H10" s="166">
        <f t="shared" si="2"/>
        <v>346511305</v>
      </c>
      <c r="I10" s="166">
        <f t="shared" si="2"/>
        <v>300088852</v>
      </c>
      <c r="J10" s="166">
        <f t="shared" si="2"/>
        <v>86541368</v>
      </c>
      <c r="K10" s="166">
        <f t="shared" si="2"/>
        <v>131158638</v>
      </c>
      <c r="L10" s="654">
        <f t="shared" si="2"/>
        <v>85301526</v>
      </c>
      <c r="M10" s="646">
        <f t="shared" si="0"/>
        <v>3408467050</v>
      </c>
    </row>
    <row r="11" spans="1:13" ht="73.900000000000006" customHeight="1" x14ac:dyDescent="0.3">
      <c r="A11" s="466" t="s">
        <v>9</v>
      </c>
      <c r="B11" s="811" t="s">
        <v>22</v>
      </c>
      <c r="C11" s="812"/>
      <c r="D11" s="166">
        <f t="shared" ref="D11:L11" si="3">+D7+D10</f>
        <v>38837856</v>
      </c>
      <c r="E11" s="166">
        <f t="shared" si="3"/>
        <v>12632748</v>
      </c>
      <c r="F11" s="166">
        <f t="shared" si="3"/>
        <v>84108560</v>
      </c>
      <c r="G11" s="166">
        <f t="shared" si="3"/>
        <v>9134534</v>
      </c>
      <c r="H11" s="166">
        <f t="shared" si="3"/>
        <v>16297458</v>
      </c>
      <c r="I11" s="166">
        <f t="shared" si="3"/>
        <v>10908831</v>
      </c>
      <c r="J11" s="166">
        <f t="shared" si="3"/>
        <v>5174795</v>
      </c>
      <c r="K11" s="166">
        <f t="shared" si="3"/>
        <v>9029975</v>
      </c>
      <c r="L11" s="654">
        <f t="shared" si="3"/>
        <v>5026849</v>
      </c>
      <c r="M11" s="646">
        <f t="shared" si="0"/>
        <v>191151606</v>
      </c>
    </row>
    <row r="12" spans="1:13" ht="23.25" customHeight="1" x14ac:dyDescent="0.3">
      <c r="A12" s="466" t="s">
        <v>23</v>
      </c>
      <c r="B12" s="811" t="s">
        <v>24</v>
      </c>
      <c r="C12" s="812"/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654">
        <v>0</v>
      </c>
      <c r="M12" s="646">
        <f t="shared" si="0"/>
        <v>0</v>
      </c>
    </row>
    <row r="13" spans="1:13" ht="60.75" customHeight="1" x14ac:dyDescent="0.3">
      <c r="A13" s="466" t="s">
        <v>25</v>
      </c>
      <c r="B13" s="826" t="s">
        <v>26</v>
      </c>
      <c r="C13" s="827"/>
      <c r="D13" s="650">
        <f>+D11+D12</f>
        <v>38837856</v>
      </c>
      <c r="E13" s="650">
        <f t="shared" ref="E13:L13" si="4">+E11+E12</f>
        <v>12632748</v>
      </c>
      <c r="F13" s="650">
        <f t="shared" si="4"/>
        <v>84108560</v>
      </c>
      <c r="G13" s="650">
        <f t="shared" si="4"/>
        <v>9134534</v>
      </c>
      <c r="H13" s="650">
        <f t="shared" si="4"/>
        <v>16297458</v>
      </c>
      <c r="I13" s="650">
        <f t="shared" si="4"/>
        <v>10908831</v>
      </c>
      <c r="J13" s="650">
        <f t="shared" si="4"/>
        <v>5174795</v>
      </c>
      <c r="K13" s="650">
        <f t="shared" si="4"/>
        <v>9029975</v>
      </c>
      <c r="L13" s="655">
        <f t="shared" si="4"/>
        <v>5026849</v>
      </c>
      <c r="M13" s="646">
        <f t="shared" si="0"/>
        <v>191151606</v>
      </c>
    </row>
    <row r="14" spans="1:13" ht="30.75" customHeight="1" x14ac:dyDescent="0.3">
      <c r="A14" s="466" t="s">
        <v>27</v>
      </c>
      <c r="B14" s="830" t="s">
        <v>763</v>
      </c>
      <c r="C14" s="826"/>
      <c r="D14" s="650">
        <f>SUM(D15:D16)</f>
        <v>1062366</v>
      </c>
      <c r="E14" s="650">
        <f t="shared" ref="E14:L14" si="5">SUM(E15:E16)</f>
        <v>1805442</v>
      </c>
      <c r="F14" s="650">
        <f t="shared" si="5"/>
        <v>30959440</v>
      </c>
      <c r="G14" s="650">
        <f t="shared" si="5"/>
        <v>3772865</v>
      </c>
      <c r="H14" s="650">
        <f t="shared" si="5"/>
        <v>5117846</v>
      </c>
      <c r="I14" s="650">
        <f t="shared" si="5"/>
        <v>79530</v>
      </c>
      <c r="J14" s="650">
        <f t="shared" si="5"/>
        <v>142951</v>
      </c>
      <c r="K14" s="650">
        <f t="shared" si="5"/>
        <v>1102006</v>
      </c>
      <c r="L14" s="650">
        <f t="shared" si="5"/>
        <v>131355</v>
      </c>
      <c r="M14" s="646">
        <f t="shared" si="0"/>
        <v>44173801</v>
      </c>
    </row>
    <row r="15" spans="1:13" ht="30.75" customHeight="1" x14ac:dyDescent="0.25">
      <c r="A15" s="833"/>
      <c r="B15" s="831" t="s">
        <v>28</v>
      </c>
      <c r="C15" s="832"/>
      <c r="D15" s="704">
        <f>+'13.c.sz.m.Kötött maradvány'!E192</f>
        <v>1062366</v>
      </c>
      <c r="E15" s="704">
        <f>+'13.c.sz.m.Kötött maradvány'!E121</f>
        <v>1805442</v>
      </c>
      <c r="F15" s="704">
        <f>+'13.c.sz.m.Kötött maradvány'!E150</f>
        <v>30959440</v>
      </c>
      <c r="G15" s="704">
        <f>+'13.c.sz.m.Kötött maradvány'!E177</f>
        <v>3772865</v>
      </c>
      <c r="H15" s="704">
        <f>+'13.c.sz.m.Kötött maradvány'!E212</f>
        <v>5117846</v>
      </c>
      <c r="I15" s="704">
        <f>+'13.c.sz.m.Kötött maradvány'!E258</f>
        <v>79530</v>
      </c>
      <c r="J15" s="704">
        <f>+'13.c.sz.m.Kötött maradvány'!E273</f>
        <v>142951</v>
      </c>
      <c r="K15" s="704">
        <f>+'13.c.sz.m.Kötött maradvány'!E242</f>
        <v>1102006</v>
      </c>
      <c r="L15" s="709">
        <f>+'13.c.sz.m.Kötött maradvány'!C227</f>
        <v>131355</v>
      </c>
      <c r="M15" s="646">
        <f t="shared" si="0"/>
        <v>44173801</v>
      </c>
    </row>
    <row r="16" spans="1:13" ht="30.75" customHeight="1" x14ac:dyDescent="0.25">
      <c r="A16" s="833"/>
      <c r="B16" s="831" t="s">
        <v>29</v>
      </c>
      <c r="C16" s="832"/>
      <c r="D16" s="704"/>
      <c r="E16" s="704"/>
      <c r="F16" s="704"/>
      <c r="G16" s="704"/>
      <c r="H16" s="704"/>
      <c r="I16" s="704"/>
      <c r="J16" s="704"/>
      <c r="K16" s="704"/>
      <c r="L16" s="709"/>
      <c r="M16" s="646">
        <f t="shared" si="0"/>
        <v>0</v>
      </c>
    </row>
    <row r="17" spans="1:13" ht="40.5" customHeight="1" x14ac:dyDescent="0.3">
      <c r="A17" s="466" t="s">
        <v>30</v>
      </c>
      <c r="B17" s="830" t="s">
        <v>676</v>
      </c>
      <c r="C17" s="826"/>
      <c r="D17" s="650">
        <f>SUM(D18:D19)</f>
        <v>0</v>
      </c>
      <c r="E17" s="650">
        <f t="shared" ref="E17:L17" si="6">SUM(E18:E19)</f>
        <v>0</v>
      </c>
      <c r="F17" s="650">
        <f t="shared" si="6"/>
        <v>0</v>
      </c>
      <c r="G17" s="650">
        <f t="shared" si="6"/>
        <v>0</v>
      </c>
      <c r="H17" s="650">
        <f t="shared" si="6"/>
        <v>0</v>
      </c>
      <c r="I17" s="650">
        <f t="shared" si="6"/>
        <v>0</v>
      </c>
      <c r="J17" s="650">
        <f t="shared" si="6"/>
        <v>0</v>
      </c>
      <c r="K17" s="650">
        <f t="shared" si="6"/>
        <v>0</v>
      </c>
      <c r="L17" s="650">
        <f t="shared" si="6"/>
        <v>0</v>
      </c>
      <c r="M17" s="646">
        <f t="shared" si="0"/>
        <v>0</v>
      </c>
    </row>
    <row r="18" spans="1:13" ht="30.75" customHeight="1" x14ac:dyDescent="0.25">
      <c r="A18" s="833"/>
      <c r="B18" s="831" t="s">
        <v>28</v>
      </c>
      <c r="C18" s="832"/>
      <c r="D18" s="704"/>
      <c r="E18" s="704"/>
      <c r="F18" s="704"/>
      <c r="G18" s="704"/>
      <c r="H18" s="704"/>
      <c r="I18" s="704"/>
      <c r="J18" s="704"/>
      <c r="K18" s="704"/>
      <c r="L18" s="709"/>
      <c r="M18" s="646">
        <f t="shared" si="0"/>
        <v>0</v>
      </c>
    </row>
    <row r="19" spans="1:13" ht="30.75" customHeight="1" x14ac:dyDescent="0.25">
      <c r="A19" s="833"/>
      <c r="B19" s="831" t="s">
        <v>29</v>
      </c>
      <c r="C19" s="832"/>
      <c r="D19" s="704"/>
      <c r="E19" s="704"/>
      <c r="F19" s="704"/>
      <c r="G19" s="704"/>
      <c r="H19" s="704"/>
      <c r="I19" s="704"/>
      <c r="J19" s="704"/>
      <c r="K19" s="704"/>
      <c r="L19" s="709"/>
      <c r="M19" s="646">
        <f t="shared" si="0"/>
        <v>0</v>
      </c>
    </row>
    <row r="20" spans="1:13" ht="33" customHeight="1" x14ac:dyDescent="0.3">
      <c r="A20" s="466" t="s">
        <v>32</v>
      </c>
      <c r="B20" s="830" t="s">
        <v>764</v>
      </c>
      <c r="C20" s="826"/>
      <c r="D20" s="650">
        <f>SUM(D21:D22)</f>
        <v>0</v>
      </c>
      <c r="E20" s="650">
        <f t="shared" ref="E20:L20" si="7">SUM(E21:E22)</f>
        <v>0</v>
      </c>
      <c r="F20" s="650">
        <f t="shared" si="7"/>
        <v>0</v>
      </c>
      <c r="G20" s="650">
        <f t="shared" si="7"/>
        <v>0</v>
      </c>
      <c r="H20" s="650">
        <f t="shared" si="7"/>
        <v>0</v>
      </c>
      <c r="I20" s="650">
        <f t="shared" si="7"/>
        <v>0</v>
      </c>
      <c r="J20" s="650">
        <f t="shared" si="7"/>
        <v>209139</v>
      </c>
      <c r="K20" s="650">
        <f t="shared" si="7"/>
        <v>0</v>
      </c>
      <c r="L20" s="650">
        <f t="shared" si="7"/>
        <v>0</v>
      </c>
      <c r="M20" s="646">
        <f t="shared" si="0"/>
        <v>209139</v>
      </c>
    </row>
    <row r="21" spans="1:13" ht="33" customHeight="1" x14ac:dyDescent="0.25">
      <c r="A21" s="833"/>
      <c r="B21" s="831" t="s">
        <v>28</v>
      </c>
      <c r="C21" s="832"/>
      <c r="D21" s="704"/>
      <c r="E21" s="704"/>
      <c r="F21" s="704"/>
      <c r="G21" s="704"/>
      <c r="H21" s="704"/>
      <c r="I21" s="704"/>
      <c r="J21" s="704"/>
      <c r="K21" s="704"/>
      <c r="L21" s="709"/>
      <c r="M21" s="646">
        <f t="shared" si="0"/>
        <v>0</v>
      </c>
    </row>
    <row r="22" spans="1:13" ht="33" customHeight="1" x14ac:dyDescent="0.25">
      <c r="A22" s="833"/>
      <c r="B22" s="831" t="s">
        <v>29</v>
      </c>
      <c r="C22" s="832"/>
      <c r="D22" s="704"/>
      <c r="E22" s="704"/>
      <c r="F22" s="704"/>
      <c r="G22" s="704"/>
      <c r="H22" s="704"/>
      <c r="I22" s="704"/>
      <c r="J22" s="704">
        <f>+'13.c.sz.m.Kötött maradvány'!E277</f>
        <v>209139</v>
      </c>
      <c r="K22" s="704"/>
      <c r="L22" s="709"/>
      <c r="M22" s="646">
        <f t="shared" si="0"/>
        <v>209139</v>
      </c>
    </row>
    <row r="23" spans="1:13" ht="39.75" customHeight="1" x14ac:dyDescent="0.3">
      <c r="A23" s="466" t="s">
        <v>33</v>
      </c>
      <c r="B23" s="830" t="s">
        <v>739</v>
      </c>
      <c r="C23" s="826"/>
      <c r="D23" s="650">
        <f>SUM(D24:D25)</f>
        <v>19079309</v>
      </c>
      <c r="E23" s="650">
        <f t="shared" ref="E23:L23" si="8">SUM(E24:E25)</f>
        <v>2360738</v>
      </c>
      <c r="F23" s="650">
        <f t="shared" si="8"/>
        <v>12078480</v>
      </c>
      <c r="G23" s="650">
        <f t="shared" si="8"/>
        <v>0</v>
      </c>
      <c r="H23" s="650">
        <f t="shared" si="8"/>
        <v>105560</v>
      </c>
      <c r="I23" s="650">
        <f t="shared" si="8"/>
        <v>64760</v>
      </c>
      <c r="J23" s="650">
        <f t="shared" si="8"/>
        <v>184600</v>
      </c>
      <c r="K23" s="650">
        <f t="shared" si="8"/>
        <v>812760</v>
      </c>
      <c r="L23" s="650">
        <f t="shared" si="8"/>
        <v>93560</v>
      </c>
      <c r="M23" s="646">
        <f t="shared" si="0"/>
        <v>34779767</v>
      </c>
    </row>
    <row r="24" spans="1:13" ht="33" customHeight="1" x14ac:dyDescent="0.25">
      <c r="A24" s="833"/>
      <c r="B24" s="831" t="s">
        <v>28</v>
      </c>
      <c r="C24" s="832"/>
      <c r="D24" s="704">
        <f>+'13.c.sz.m.Kötött maradvány'!E201</f>
        <v>3507077</v>
      </c>
      <c r="E24" s="704">
        <f>+'13.c.sz.m.Kötött maradvány'!E128</f>
        <v>2339848</v>
      </c>
      <c r="F24" s="704">
        <f>+'13.c.sz.m.Kötött maradvány'!E166</f>
        <v>12078480</v>
      </c>
      <c r="G24" s="704">
        <f>+'13.c.sz.m.Kötött maradvány'!E182</f>
        <v>0</v>
      </c>
      <c r="H24" s="704">
        <f>+'13.c.sz.m.Kötött maradvány'!E218</f>
        <v>105560</v>
      </c>
      <c r="I24" s="704">
        <f>+'13.c.sz.m.Kötött maradvány'!E263</f>
        <v>5000</v>
      </c>
      <c r="J24" s="704">
        <f>+'13.c.sz.m.Kötött maradvány'!E281</f>
        <v>184600</v>
      </c>
      <c r="K24" s="704">
        <f>+'13.c.sz.m.Kötött maradvány'!E250</f>
        <v>812760</v>
      </c>
      <c r="L24" s="709">
        <f>+'13.c.sz.m.Kötött maradvány'!C233</f>
        <v>93560</v>
      </c>
      <c r="M24" s="646">
        <f t="shared" si="0"/>
        <v>19126885</v>
      </c>
    </row>
    <row r="25" spans="1:13" ht="28.5" customHeight="1" x14ac:dyDescent="0.25">
      <c r="A25" s="833"/>
      <c r="B25" s="831" t="s">
        <v>29</v>
      </c>
      <c r="C25" s="832"/>
      <c r="D25" s="704">
        <f>+'13.c.sz.m.Kötött maradvány'!E203</f>
        <v>15572232</v>
      </c>
      <c r="E25" s="704">
        <f>+'13.c.sz.m.Kötött maradvány'!E130</f>
        <v>20890</v>
      </c>
      <c r="F25" s="704"/>
      <c r="G25" s="704"/>
      <c r="H25" s="704"/>
      <c r="I25" s="704">
        <f>+'13.c.sz.m.Kötött maradvány'!E265</f>
        <v>59760</v>
      </c>
      <c r="J25" s="704"/>
      <c r="K25" s="704">
        <f>+'13.c.sz.m.Kötött maradvány'!E251</f>
        <v>0</v>
      </c>
      <c r="L25" s="709"/>
      <c r="M25" s="646">
        <f t="shared" si="0"/>
        <v>15652882</v>
      </c>
    </row>
    <row r="26" spans="1:13" ht="28.5" customHeight="1" x14ac:dyDescent="0.3">
      <c r="A26" s="466" t="s">
        <v>34</v>
      </c>
      <c r="B26" s="830" t="s">
        <v>762</v>
      </c>
      <c r="C26" s="826"/>
      <c r="D26" s="650">
        <f>SUM(D27:D28)</f>
        <v>0</v>
      </c>
      <c r="E26" s="650">
        <f t="shared" ref="E26:L26" si="9">SUM(E27:E28)</f>
        <v>0</v>
      </c>
      <c r="F26" s="650">
        <f t="shared" si="9"/>
        <v>0</v>
      </c>
      <c r="G26" s="650">
        <f t="shared" si="9"/>
        <v>0</v>
      </c>
      <c r="H26" s="650">
        <f t="shared" si="9"/>
        <v>0</v>
      </c>
      <c r="I26" s="650">
        <f t="shared" si="9"/>
        <v>0</v>
      </c>
      <c r="J26" s="650">
        <f t="shared" si="9"/>
        <v>0</v>
      </c>
      <c r="K26" s="650">
        <f t="shared" si="9"/>
        <v>0</v>
      </c>
      <c r="L26" s="650">
        <f t="shared" si="9"/>
        <v>0</v>
      </c>
      <c r="M26" s="646">
        <f t="shared" si="0"/>
        <v>0</v>
      </c>
    </row>
    <row r="27" spans="1:13" ht="28.5" customHeight="1" x14ac:dyDescent="0.25">
      <c r="A27" s="833"/>
      <c r="B27" s="831" t="s">
        <v>28</v>
      </c>
      <c r="C27" s="832"/>
      <c r="D27" s="704"/>
      <c r="E27" s="704"/>
      <c r="F27" s="704"/>
      <c r="G27" s="704"/>
      <c r="H27" s="704"/>
      <c r="I27" s="704"/>
      <c r="J27" s="704"/>
      <c r="K27" s="704"/>
      <c r="L27" s="709"/>
      <c r="M27" s="646">
        <f t="shared" si="0"/>
        <v>0</v>
      </c>
    </row>
    <row r="28" spans="1:13" ht="28.5" customHeight="1" x14ac:dyDescent="0.25">
      <c r="A28" s="833"/>
      <c r="B28" s="831" t="s">
        <v>29</v>
      </c>
      <c r="C28" s="832"/>
      <c r="D28" s="704"/>
      <c r="E28" s="704"/>
      <c r="F28" s="704"/>
      <c r="G28" s="704"/>
      <c r="H28" s="704"/>
      <c r="I28" s="704"/>
      <c r="J28" s="704"/>
      <c r="K28" s="704"/>
      <c r="L28" s="709"/>
      <c r="M28" s="646">
        <f t="shared" si="0"/>
        <v>0</v>
      </c>
    </row>
    <row r="29" spans="1:13" s="385" customFormat="1" ht="42.75" customHeight="1" x14ac:dyDescent="0.3">
      <c r="A29" s="466" t="s">
        <v>35</v>
      </c>
      <c r="B29" s="826" t="s">
        <v>564</v>
      </c>
      <c r="C29" s="827"/>
      <c r="D29" s="650">
        <f>SUM(D30:D31)</f>
        <v>20141675</v>
      </c>
      <c r="E29" s="650">
        <f t="shared" ref="E29:L29" si="10">SUM(E30:E31)</f>
        <v>4166180</v>
      </c>
      <c r="F29" s="650">
        <f t="shared" si="10"/>
        <v>43037920</v>
      </c>
      <c r="G29" s="650">
        <f t="shared" si="10"/>
        <v>3772865</v>
      </c>
      <c r="H29" s="650">
        <f t="shared" si="10"/>
        <v>5223406</v>
      </c>
      <c r="I29" s="650">
        <f t="shared" si="10"/>
        <v>144290</v>
      </c>
      <c r="J29" s="650">
        <f t="shared" si="10"/>
        <v>536690</v>
      </c>
      <c r="K29" s="650">
        <f t="shared" si="10"/>
        <v>1914766</v>
      </c>
      <c r="L29" s="650">
        <f t="shared" si="10"/>
        <v>224915</v>
      </c>
      <c r="M29" s="646">
        <f t="shared" si="0"/>
        <v>79162707</v>
      </c>
    </row>
    <row r="30" spans="1:13" ht="23.25" customHeight="1" x14ac:dyDescent="0.25">
      <c r="A30" s="834"/>
      <c r="B30" s="831" t="s">
        <v>28</v>
      </c>
      <c r="C30" s="832"/>
      <c r="D30" s="704">
        <f>+D15+D18+D21+D24+D27</f>
        <v>4569443</v>
      </c>
      <c r="E30" s="704">
        <f t="shared" ref="E30:L30" si="11">+E15+E18+E21+E24+E27</f>
        <v>4145290</v>
      </c>
      <c r="F30" s="704">
        <f t="shared" si="11"/>
        <v>43037920</v>
      </c>
      <c r="G30" s="704">
        <f t="shared" si="11"/>
        <v>3772865</v>
      </c>
      <c r="H30" s="704">
        <f t="shared" si="11"/>
        <v>5223406</v>
      </c>
      <c r="I30" s="704">
        <f t="shared" si="11"/>
        <v>84530</v>
      </c>
      <c r="J30" s="704">
        <f t="shared" si="11"/>
        <v>327551</v>
      </c>
      <c r="K30" s="704">
        <f t="shared" si="11"/>
        <v>1914766</v>
      </c>
      <c r="L30" s="704">
        <f t="shared" si="11"/>
        <v>224915</v>
      </c>
      <c r="M30" s="647">
        <f t="shared" si="0"/>
        <v>63300686</v>
      </c>
    </row>
    <row r="31" spans="1:13" ht="23.25" customHeight="1" x14ac:dyDescent="0.25">
      <c r="A31" s="834"/>
      <c r="B31" s="831" t="s">
        <v>29</v>
      </c>
      <c r="C31" s="832"/>
      <c r="D31" s="704">
        <f>+D16+D19+D22+D25+D28</f>
        <v>15572232</v>
      </c>
      <c r="E31" s="704">
        <f t="shared" ref="E31:L31" si="12">+E16+E19+E22+E25+E28</f>
        <v>20890</v>
      </c>
      <c r="F31" s="704">
        <f t="shared" si="12"/>
        <v>0</v>
      </c>
      <c r="G31" s="704">
        <f t="shared" si="12"/>
        <v>0</v>
      </c>
      <c r="H31" s="704">
        <f t="shared" si="12"/>
        <v>0</v>
      </c>
      <c r="I31" s="704">
        <f t="shared" si="12"/>
        <v>59760</v>
      </c>
      <c r="J31" s="704">
        <f t="shared" si="12"/>
        <v>209139</v>
      </c>
      <c r="K31" s="704">
        <f t="shared" si="12"/>
        <v>0</v>
      </c>
      <c r="L31" s="704">
        <f t="shared" si="12"/>
        <v>0</v>
      </c>
      <c r="M31" s="647">
        <f t="shared" si="0"/>
        <v>15862021</v>
      </c>
    </row>
    <row r="32" spans="1:13" ht="59.25" customHeight="1" x14ac:dyDescent="0.3">
      <c r="A32" s="466" t="s">
        <v>37</v>
      </c>
      <c r="B32" s="826" t="s">
        <v>31</v>
      </c>
      <c r="C32" s="827"/>
      <c r="D32" s="650">
        <f t="shared" ref="D32:L32" si="13">+D11-D29</f>
        <v>18696181</v>
      </c>
      <c r="E32" s="650">
        <f t="shared" si="13"/>
        <v>8466568</v>
      </c>
      <c r="F32" s="650">
        <f t="shared" si="13"/>
        <v>41070640</v>
      </c>
      <c r="G32" s="650">
        <f t="shared" si="13"/>
        <v>5361669</v>
      </c>
      <c r="H32" s="650">
        <f t="shared" si="13"/>
        <v>11074052</v>
      </c>
      <c r="I32" s="650">
        <f t="shared" si="13"/>
        <v>10764541</v>
      </c>
      <c r="J32" s="650">
        <f>+J11-J29</f>
        <v>4638105</v>
      </c>
      <c r="K32" s="650">
        <f t="shared" si="13"/>
        <v>7115209</v>
      </c>
      <c r="L32" s="655">
        <f t="shared" si="13"/>
        <v>4801934</v>
      </c>
      <c r="M32" s="646">
        <f t="shared" si="0"/>
        <v>111988899</v>
      </c>
    </row>
    <row r="33" spans="1:13" s="79" customFormat="1" ht="47.45" customHeight="1" x14ac:dyDescent="0.3">
      <c r="A33" s="467" t="s">
        <v>47</v>
      </c>
      <c r="B33" s="828" t="s">
        <v>555</v>
      </c>
      <c r="C33" s="829"/>
      <c r="D33" s="705"/>
      <c r="E33" s="705"/>
      <c r="F33" s="705"/>
      <c r="G33" s="705"/>
      <c r="H33" s="705"/>
      <c r="I33" s="705"/>
      <c r="J33" s="705"/>
      <c r="K33" s="705"/>
      <c r="L33" s="710"/>
      <c r="M33" s="648"/>
    </row>
    <row r="34" spans="1:13" ht="23.25" customHeight="1" x14ac:dyDescent="0.3">
      <c r="A34" s="468" t="s">
        <v>49</v>
      </c>
      <c r="B34" s="824" t="s">
        <v>36</v>
      </c>
      <c r="C34" s="825"/>
      <c r="D34" s="706">
        <f>+D32-D33</f>
        <v>18696181</v>
      </c>
      <c r="E34" s="706">
        <f t="shared" ref="E34:L34" si="14">+E32-E33</f>
        <v>8466568</v>
      </c>
      <c r="F34" s="706">
        <f t="shared" si="14"/>
        <v>41070640</v>
      </c>
      <c r="G34" s="706">
        <f t="shared" si="14"/>
        <v>5361669</v>
      </c>
      <c r="H34" s="706">
        <f t="shared" si="14"/>
        <v>11074052</v>
      </c>
      <c r="I34" s="706">
        <f t="shared" si="14"/>
        <v>10764541</v>
      </c>
      <c r="J34" s="706">
        <f t="shared" si="14"/>
        <v>4638105</v>
      </c>
      <c r="K34" s="706">
        <f t="shared" si="14"/>
        <v>7115209</v>
      </c>
      <c r="L34" s="706">
        <f t="shared" si="14"/>
        <v>4801934</v>
      </c>
      <c r="M34" s="649">
        <f t="shared" si="0"/>
        <v>111988899</v>
      </c>
    </row>
    <row r="35" spans="1:13" ht="23.25" x14ac:dyDescent="0.35">
      <c r="A35" s="164" t="s">
        <v>679</v>
      </c>
    </row>
  </sheetData>
  <mergeCells count="40">
    <mergeCell ref="B16:C16"/>
    <mergeCell ref="B17:C17"/>
    <mergeCell ref="B18:C18"/>
    <mergeCell ref="A15:A16"/>
    <mergeCell ref="A18:A19"/>
    <mergeCell ref="A21:A22"/>
    <mergeCell ref="A24:A25"/>
    <mergeCell ref="A27:A28"/>
    <mergeCell ref="A30:A31"/>
    <mergeCell ref="B30:C30"/>
    <mergeCell ref="B31:C31"/>
    <mergeCell ref="B27:C27"/>
    <mergeCell ref="B28:C28"/>
    <mergeCell ref="B34:C34"/>
    <mergeCell ref="B32:C32"/>
    <mergeCell ref="B33:C33"/>
    <mergeCell ref="B12:C12"/>
    <mergeCell ref="B13:C13"/>
    <mergeCell ref="B29:C29"/>
    <mergeCell ref="B14:C14"/>
    <mergeCell ref="B15:C15"/>
    <mergeCell ref="B19:C19"/>
    <mergeCell ref="B20:C20"/>
    <mergeCell ref="B26:C26"/>
    <mergeCell ref="B21:C21"/>
    <mergeCell ref="B22:C22"/>
    <mergeCell ref="B23:C23"/>
    <mergeCell ref="B24:C24"/>
    <mergeCell ref="B25:C25"/>
    <mergeCell ref="B6:C6"/>
    <mergeCell ref="A1:M1"/>
    <mergeCell ref="A3:A4"/>
    <mergeCell ref="B3:C4"/>
    <mergeCell ref="M3:M4"/>
    <mergeCell ref="B5:C5"/>
    <mergeCell ref="B7:C7"/>
    <mergeCell ref="B8:C8"/>
    <mergeCell ref="B9:C9"/>
    <mergeCell ref="B10:C10"/>
    <mergeCell ref="B11:C11"/>
  </mergeCells>
  <printOptions horizontalCentered="1" verticalCentered="1"/>
  <pageMargins left="0.31496062992125984" right="0.23622047244094491" top="0.59055118110236227" bottom="0.74803149606299213" header="0.31496062992125984" footer="0.31496062992125984"/>
  <pageSetup paperSize="9" scale="39" orientation="landscape" r:id="rId1"/>
  <headerFooter>
    <oddHeader>&amp;CDunaharaszti Város Önkormányzat 
2022. évi zárszámadás&amp;R&amp;A</oddHeader>
    <oddFooter xml:space="preserve">&amp;C&amp;P/&amp;N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970D-8545-46D9-A372-026689E6382B}">
  <sheetPr>
    <tabColor theme="3" tint="0.59999389629810485"/>
  </sheetPr>
  <dimension ref="A1:E10"/>
  <sheetViews>
    <sheetView view="pageBreakPreview" zoomScale="60" zoomScaleNormal="100" workbookViewId="0">
      <selection activeCell="D18" sqref="D18"/>
    </sheetView>
  </sheetViews>
  <sheetFormatPr defaultRowHeight="15" x14ac:dyDescent="0.25"/>
  <cols>
    <col min="1" max="1" width="4.85546875" customWidth="1"/>
    <col min="2" max="2" width="30.5703125" bestFit="1" customWidth="1"/>
    <col min="3" max="3" width="15.5703125" customWidth="1"/>
    <col min="4" max="4" width="15.7109375" customWidth="1"/>
    <col min="5" max="5" width="15.28515625" customWidth="1"/>
  </cols>
  <sheetData>
    <row r="1" spans="1:5" ht="63.75" customHeight="1" x14ac:dyDescent="0.3">
      <c r="B1" s="1077" t="s">
        <v>904</v>
      </c>
      <c r="C1" s="1046"/>
      <c r="D1" s="1046"/>
      <c r="E1" s="1046"/>
    </row>
    <row r="2" spans="1:5" x14ac:dyDescent="0.25">
      <c r="B2" s="1047" t="s">
        <v>905</v>
      </c>
      <c r="C2" s="1047"/>
      <c r="D2" s="1047"/>
      <c r="E2" s="1047"/>
    </row>
    <row r="3" spans="1:5" ht="15.75" x14ac:dyDescent="0.25">
      <c r="B3" s="1078" t="s">
        <v>906</v>
      </c>
      <c r="C3" s="1078"/>
      <c r="D3" s="1078"/>
      <c r="E3" s="1078"/>
    </row>
    <row r="5" spans="1:5" ht="15.75" x14ac:dyDescent="0.25">
      <c r="B5" s="235"/>
      <c r="C5" s="236"/>
    </row>
    <row r="6" spans="1:5" ht="72" customHeight="1" x14ac:dyDescent="0.25">
      <c r="A6" s="1076" t="s">
        <v>622</v>
      </c>
      <c r="B6" s="1076"/>
      <c r="C6" s="596" t="s">
        <v>907</v>
      </c>
      <c r="D6" s="596" t="s">
        <v>899</v>
      </c>
      <c r="E6" s="596" t="s">
        <v>811</v>
      </c>
    </row>
    <row r="7" spans="1:5" x14ac:dyDescent="0.25">
      <c r="A7" s="1079" t="s">
        <v>627</v>
      </c>
      <c r="B7" s="1079"/>
      <c r="C7" s="593">
        <v>15000000</v>
      </c>
      <c r="D7" s="593">
        <v>15000000</v>
      </c>
      <c r="E7" s="593">
        <v>0</v>
      </c>
    </row>
    <row r="8" spans="1:5" ht="51.75" customHeight="1" x14ac:dyDescent="0.25">
      <c r="A8" s="1076" t="s">
        <v>342</v>
      </c>
      <c r="B8" s="1076"/>
      <c r="C8" s="596" t="s">
        <v>629</v>
      </c>
      <c r="D8" s="596" t="s">
        <v>898</v>
      </c>
      <c r="E8" s="596" t="s">
        <v>811</v>
      </c>
    </row>
    <row r="9" spans="1:5" ht="18" customHeight="1" x14ac:dyDescent="0.25">
      <c r="A9" s="1075" t="s">
        <v>908</v>
      </c>
      <c r="B9" s="1075"/>
      <c r="C9" s="593">
        <v>15000000</v>
      </c>
      <c r="D9" s="597">
        <v>15000000</v>
      </c>
      <c r="E9" s="593"/>
    </row>
    <row r="10" spans="1:5" ht="27.75" customHeight="1" x14ac:dyDescent="0.25">
      <c r="A10" s="1076" t="s">
        <v>714</v>
      </c>
      <c r="B10" s="1076"/>
      <c r="C10" s="598">
        <f>SUM(C9:C9)</f>
        <v>15000000</v>
      </c>
      <c r="D10" s="598">
        <f>SUM(D9:D9)</f>
        <v>15000000</v>
      </c>
      <c r="E10" s="598">
        <f>SUM(E9:E9)</f>
        <v>0</v>
      </c>
    </row>
  </sheetData>
  <mergeCells count="8">
    <mergeCell ref="A9:B9"/>
    <mergeCell ref="A10:B10"/>
    <mergeCell ref="B1:E1"/>
    <mergeCell ref="B2:E2"/>
    <mergeCell ref="B3:E3"/>
    <mergeCell ref="A6:B6"/>
    <mergeCell ref="A7:B7"/>
    <mergeCell ref="A8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D8DB-B5D9-4785-B89F-C73E33D9BDAC}">
  <sheetPr>
    <tabColor theme="3" tint="0.59999389629810485"/>
  </sheetPr>
  <dimension ref="A1:F11"/>
  <sheetViews>
    <sheetView view="pageBreakPreview" zoomScale="90" zoomScaleNormal="100" zoomScaleSheetLayoutView="90" workbookViewId="0">
      <selection activeCell="H35" sqref="H35"/>
    </sheetView>
  </sheetViews>
  <sheetFormatPr defaultRowHeight="15" x14ac:dyDescent="0.25"/>
  <cols>
    <col min="1" max="1" width="3.85546875" style="574" customWidth="1"/>
    <col min="2" max="2" width="26.85546875" style="574" customWidth="1"/>
    <col min="3" max="3" width="17.85546875" style="574" customWidth="1"/>
    <col min="4" max="5" width="21.5703125" style="574" customWidth="1"/>
    <col min="6" max="6" width="27.5703125" style="574" customWidth="1"/>
    <col min="7" max="16384" width="9.140625" style="574"/>
  </cols>
  <sheetData>
    <row r="1" spans="1:6" ht="18.75" x14ac:dyDescent="0.3">
      <c r="A1" s="1077" t="s">
        <v>909</v>
      </c>
      <c r="B1" s="1077"/>
      <c r="C1" s="1077"/>
      <c r="D1" s="1077"/>
      <c r="E1" s="1077"/>
      <c r="F1" s="1077"/>
    </row>
    <row r="2" spans="1:6" x14ac:dyDescent="0.25">
      <c r="A2" s="1081" t="s">
        <v>910</v>
      </c>
      <c r="B2" s="1081"/>
      <c r="C2" s="1081"/>
      <c r="D2" s="1081"/>
      <c r="E2" s="1081"/>
      <c r="F2" s="1081"/>
    </row>
    <row r="4" spans="1:6" ht="16.5" thickBot="1" x14ac:dyDescent="0.3">
      <c r="B4" s="599"/>
      <c r="C4" s="600"/>
      <c r="D4" s="600"/>
      <c r="E4" s="600"/>
    </row>
    <row r="5" spans="1:6" ht="30" x14ac:dyDescent="0.25">
      <c r="A5" s="1082" t="s">
        <v>652</v>
      </c>
      <c r="B5" s="1052"/>
      <c r="C5" s="573" t="s">
        <v>623</v>
      </c>
      <c r="D5" s="237" t="s">
        <v>899</v>
      </c>
      <c r="E5" s="237" t="s">
        <v>1189</v>
      </c>
      <c r="F5" s="238" t="s">
        <v>626</v>
      </c>
    </row>
    <row r="6" spans="1:6" ht="15.75" thickBot="1" x14ac:dyDescent="0.3">
      <c r="A6" s="1041" t="s">
        <v>627</v>
      </c>
      <c r="B6" s="1083"/>
      <c r="C6" s="776">
        <v>373990120</v>
      </c>
      <c r="D6" s="777">
        <v>373990120</v>
      </c>
      <c r="E6" s="777"/>
      <c r="F6" s="601">
        <f>C6-D6</f>
        <v>0</v>
      </c>
    </row>
    <row r="7" spans="1:6" ht="45" x14ac:dyDescent="0.25">
      <c r="A7" s="1084" t="s">
        <v>628</v>
      </c>
      <c r="B7" s="1085"/>
      <c r="C7" s="240" t="s">
        <v>709</v>
      </c>
      <c r="D7" s="237" t="s">
        <v>898</v>
      </c>
      <c r="E7" s="237" t="s">
        <v>1190</v>
      </c>
      <c r="F7" s="238" t="s">
        <v>712</v>
      </c>
    </row>
    <row r="8" spans="1:6" x14ac:dyDescent="0.25">
      <c r="A8" s="602" t="s">
        <v>3</v>
      </c>
      <c r="B8" s="585" t="s">
        <v>911</v>
      </c>
      <c r="C8" s="603">
        <v>329992608</v>
      </c>
      <c r="D8" s="778">
        <v>0</v>
      </c>
      <c r="E8" s="778">
        <v>329992608</v>
      </c>
      <c r="F8" s="779">
        <f>C8-D8-E8</f>
        <v>0</v>
      </c>
    </row>
    <row r="9" spans="1:6" ht="15.75" thickBot="1" x14ac:dyDescent="0.3">
      <c r="A9" s="602" t="s">
        <v>4</v>
      </c>
      <c r="B9" s="587" t="s">
        <v>912</v>
      </c>
      <c r="C9" s="604">
        <v>43997512</v>
      </c>
      <c r="D9" s="605">
        <v>0</v>
      </c>
      <c r="E9" s="605">
        <v>43997512</v>
      </c>
      <c r="F9" s="779">
        <f>C9-D9-E9</f>
        <v>0</v>
      </c>
    </row>
    <row r="10" spans="1:6" ht="15.75" thickBot="1" x14ac:dyDescent="0.3">
      <c r="A10" s="1086" t="s">
        <v>714</v>
      </c>
      <c r="B10" s="1087"/>
      <c r="C10" s="606">
        <f>SUM(C8:C9)</f>
        <v>373990120</v>
      </c>
      <c r="D10" s="607">
        <f>SUM(D8:D9)</f>
        <v>0</v>
      </c>
      <c r="E10" s="607">
        <f>SUM(E8:E9)</f>
        <v>373990120</v>
      </c>
      <c r="F10" s="608">
        <f>SUM(F8:F9)</f>
        <v>0</v>
      </c>
    </row>
    <row r="11" spans="1:6" x14ac:dyDescent="0.25">
      <c r="A11" s="1080"/>
      <c r="B11" s="1080"/>
      <c r="C11" s="1080"/>
      <c r="D11" s="1080"/>
      <c r="E11" s="1080"/>
      <c r="F11" s="1080"/>
    </row>
  </sheetData>
  <mergeCells count="7">
    <mergeCell ref="A11:F11"/>
    <mergeCell ref="A1:F1"/>
    <mergeCell ref="A2:F2"/>
    <mergeCell ref="A5:B5"/>
    <mergeCell ref="A6:B6"/>
    <mergeCell ref="A7:B7"/>
    <mergeCell ref="A10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3CC9-5F04-4663-9CCC-F17C17169CFA}">
  <sheetPr>
    <tabColor theme="3" tint="0.59999389629810485"/>
  </sheetPr>
  <dimension ref="A1:F10"/>
  <sheetViews>
    <sheetView view="pageBreakPreview" zoomScale="90" zoomScaleNormal="100" zoomScaleSheetLayoutView="90" workbookViewId="0">
      <selection activeCell="D25" sqref="D25"/>
    </sheetView>
  </sheetViews>
  <sheetFormatPr defaultRowHeight="15" x14ac:dyDescent="0.25"/>
  <cols>
    <col min="1" max="1" width="9.140625" style="574"/>
    <col min="2" max="2" width="17" style="574" customWidth="1"/>
    <col min="3" max="3" width="19" style="574" customWidth="1"/>
    <col min="4" max="5" width="16.42578125" style="574" customWidth="1"/>
    <col min="6" max="6" width="20" style="574" customWidth="1"/>
    <col min="7" max="16384" width="9.140625" style="574"/>
  </cols>
  <sheetData>
    <row r="1" spans="1:6" ht="18.75" x14ac:dyDescent="0.3">
      <c r="A1" s="1077" t="s">
        <v>913</v>
      </c>
      <c r="B1" s="1077"/>
      <c r="C1" s="1077"/>
      <c r="D1" s="1077"/>
      <c r="E1" s="1077"/>
      <c r="F1" s="1077"/>
    </row>
    <row r="2" spans="1:6" x14ac:dyDescent="0.25">
      <c r="A2" s="1081" t="s">
        <v>910</v>
      </c>
      <c r="B2" s="1081"/>
      <c r="C2" s="1081"/>
      <c r="D2" s="1081"/>
      <c r="E2" s="1081"/>
      <c r="F2" s="1081"/>
    </row>
    <row r="4" spans="1:6" ht="16.5" thickBot="1" x14ac:dyDescent="0.3">
      <c r="B4" s="599"/>
      <c r="C4" s="600"/>
      <c r="D4" s="600"/>
      <c r="E4" s="600"/>
    </row>
    <row r="5" spans="1:6" ht="60" x14ac:dyDescent="0.25">
      <c r="A5" s="1082" t="s">
        <v>652</v>
      </c>
      <c r="B5" s="1052"/>
      <c r="C5" s="573" t="s">
        <v>623</v>
      </c>
      <c r="D5" s="237" t="s">
        <v>899</v>
      </c>
      <c r="E5" s="237" t="s">
        <v>1189</v>
      </c>
      <c r="F5" s="238" t="s">
        <v>626</v>
      </c>
    </row>
    <row r="6" spans="1:6" ht="15.75" thickBot="1" x14ac:dyDescent="0.3">
      <c r="A6" s="1041" t="s">
        <v>914</v>
      </c>
      <c r="B6" s="1083"/>
      <c r="C6" s="776">
        <v>6936946</v>
      </c>
      <c r="D6" s="777">
        <f>+C6</f>
        <v>6936946</v>
      </c>
      <c r="E6" s="777"/>
      <c r="F6" s="601">
        <f>C6-D6</f>
        <v>0</v>
      </c>
    </row>
    <row r="7" spans="1:6" ht="45" x14ac:dyDescent="0.25">
      <c r="A7" s="1084" t="s">
        <v>628</v>
      </c>
      <c r="B7" s="1085"/>
      <c r="C7" s="240" t="s">
        <v>709</v>
      </c>
      <c r="D7" s="237" t="s">
        <v>898</v>
      </c>
      <c r="E7" s="237" t="s">
        <v>1190</v>
      </c>
      <c r="F7" s="238" t="s">
        <v>712</v>
      </c>
    </row>
    <row r="8" spans="1:6" ht="45" x14ac:dyDescent="0.25">
      <c r="A8" s="602" t="s">
        <v>3</v>
      </c>
      <c r="B8" s="585" t="s">
        <v>915</v>
      </c>
      <c r="C8" s="603">
        <v>13213230</v>
      </c>
      <c r="D8" s="778">
        <v>13213230</v>
      </c>
      <c r="E8" s="778" t="s">
        <v>78</v>
      </c>
      <c r="F8" s="779">
        <f>C8-D8</f>
        <v>0</v>
      </c>
    </row>
    <row r="9" spans="1:6" ht="30.75" thickBot="1" x14ac:dyDescent="0.3">
      <c r="A9" s="602" t="s">
        <v>4</v>
      </c>
      <c r="B9" s="587" t="s">
        <v>916</v>
      </c>
      <c r="C9" s="604">
        <v>660662</v>
      </c>
      <c r="D9" s="605">
        <v>330331</v>
      </c>
      <c r="E9" s="605">
        <v>330331</v>
      </c>
      <c r="F9" s="779">
        <f>C9-D9-E9</f>
        <v>0</v>
      </c>
    </row>
    <row r="10" spans="1:6" ht="15.75" thickBot="1" x14ac:dyDescent="0.3">
      <c r="A10" s="1086" t="s">
        <v>714</v>
      </c>
      <c r="B10" s="1087"/>
      <c r="C10" s="606">
        <f>SUM(C8:C9)</f>
        <v>13873892</v>
      </c>
      <c r="D10" s="607">
        <f>SUM(D8:D9)</f>
        <v>13543561</v>
      </c>
      <c r="E10" s="607">
        <f>SUM(E8:E9)</f>
        <v>330331</v>
      </c>
      <c r="F10" s="608">
        <f>SUM(F8:F9)</f>
        <v>0</v>
      </c>
    </row>
  </sheetData>
  <mergeCells count="6">
    <mergeCell ref="A10:B10"/>
    <mergeCell ref="A1:F1"/>
    <mergeCell ref="A2:F2"/>
    <mergeCell ref="A5:B5"/>
    <mergeCell ref="A6:B6"/>
    <mergeCell ref="A7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022D-BF4B-431F-9921-E9662274BB24}">
  <sheetPr>
    <tabColor theme="3" tint="0.59999389629810485"/>
  </sheetPr>
  <dimension ref="A1:E10"/>
  <sheetViews>
    <sheetView view="pageBreakPreview" zoomScale="90" zoomScaleNormal="100" zoomScaleSheetLayoutView="90" workbookViewId="0">
      <selection activeCell="K25" sqref="K25"/>
    </sheetView>
  </sheetViews>
  <sheetFormatPr defaultRowHeight="15" x14ac:dyDescent="0.25"/>
  <cols>
    <col min="1" max="3" width="18.85546875" customWidth="1"/>
    <col min="4" max="4" width="20.140625" customWidth="1"/>
    <col min="5" max="5" width="18.85546875" customWidth="1"/>
  </cols>
  <sheetData>
    <row r="1" spans="1:5" ht="18.75" x14ac:dyDescent="0.3">
      <c r="A1" s="1077" t="s">
        <v>1192</v>
      </c>
      <c r="B1" s="1077"/>
      <c r="C1" s="1077"/>
      <c r="D1" s="1077"/>
      <c r="E1" s="1077"/>
    </row>
    <row r="2" spans="1:5" x14ac:dyDescent="0.25">
      <c r="A2" s="1081" t="s">
        <v>1193</v>
      </c>
      <c r="B2" s="1081"/>
      <c r="C2" s="1081"/>
      <c r="D2" s="1081"/>
      <c r="E2" s="1081"/>
    </row>
    <row r="3" spans="1:5" x14ac:dyDescent="0.25">
      <c r="A3" s="574"/>
      <c r="B3" s="574"/>
      <c r="C3" s="574"/>
      <c r="D3" s="574"/>
      <c r="E3" s="574"/>
    </row>
    <row r="4" spans="1:5" ht="16.5" thickBot="1" x14ac:dyDescent="0.3">
      <c r="A4" s="574"/>
      <c r="B4" s="599"/>
      <c r="C4" s="600"/>
      <c r="D4" s="600"/>
      <c r="E4" s="574"/>
    </row>
    <row r="5" spans="1:5" ht="60" x14ac:dyDescent="0.25">
      <c r="A5" s="1082" t="s">
        <v>652</v>
      </c>
      <c r="B5" s="1052"/>
      <c r="C5" s="573" t="s">
        <v>623</v>
      </c>
      <c r="D5" s="237" t="s">
        <v>1189</v>
      </c>
      <c r="E5" s="238" t="s">
        <v>626</v>
      </c>
    </row>
    <row r="6" spans="1:5" ht="15.75" thickBot="1" x14ac:dyDescent="0.3">
      <c r="A6" s="1041" t="s">
        <v>914</v>
      </c>
      <c r="B6" s="1083"/>
      <c r="C6" s="776">
        <v>4690004</v>
      </c>
      <c r="D6" s="777">
        <f>+C6</f>
        <v>4690004</v>
      </c>
      <c r="E6" s="601">
        <f>C6-D6</f>
        <v>0</v>
      </c>
    </row>
    <row r="7" spans="1:5" ht="45" x14ac:dyDescent="0.25">
      <c r="A7" s="1084" t="s">
        <v>628</v>
      </c>
      <c r="B7" s="1085"/>
      <c r="C7" s="240" t="s">
        <v>709</v>
      </c>
      <c r="D7" s="237" t="s">
        <v>1190</v>
      </c>
      <c r="E7" s="238" t="s">
        <v>712</v>
      </c>
    </row>
    <row r="8" spans="1:5" ht="30" x14ac:dyDescent="0.25">
      <c r="A8" s="602" t="s">
        <v>3</v>
      </c>
      <c r="B8" s="585" t="s">
        <v>1194</v>
      </c>
      <c r="C8" s="603">
        <v>8912326</v>
      </c>
      <c r="D8" s="603">
        <v>8912326</v>
      </c>
      <c r="E8" s="779">
        <f>C8-D8</f>
        <v>0</v>
      </c>
    </row>
    <row r="9" spans="1:5" ht="30.75" thickBot="1" x14ac:dyDescent="0.3">
      <c r="A9" s="602" t="s">
        <v>4</v>
      </c>
      <c r="B9" s="587" t="s">
        <v>916</v>
      </c>
      <c r="C9" s="604">
        <v>467680</v>
      </c>
      <c r="D9" s="605">
        <v>467680</v>
      </c>
      <c r="E9" s="779">
        <f>C9-D9</f>
        <v>0</v>
      </c>
    </row>
    <row r="10" spans="1:5" ht="15.75" thickBot="1" x14ac:dyDescent="0.3">
      <c r="A10" s="1086" t="s">
        <v>714</v>
      </c>
      <c r="B10" s="1087"/>
      <c r="C10" s="606">
        <f>SUM(C8:C9)</f>
        <v>9380006</v>
      </c>
      <c r="D10" s="607">
        <f>SUM(D8:D9)</f>
        <v>9380006</v>
      </c>
      <c r="E10" s="608">
        <f>SUM(E8:E9)</f>
        <v>0</v>
      </c>
    </row>
  </sheetData>
  <mergeCells count="6">
    <mergeCell ref="A10:B10"/>
    <mergeCell ref="A1:E1"/>
    <mergeCell ref="A2:E2"/>
    <mergeCell ref="A5:B5"/>
    <mergeCell ref="A6:B6"/>
    <mergeCell ref="A7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B900-2E4E-4AB2-9B09-15C370DBFB0A}">
  <sheetPr>
    <tabColor theme="3" tint="0.59999389629810485"/>
  </sheetPr>
  <dimension ref="A1:E27"/>
  <sheetViews>
    <sheetView topLeftCell="A7" workbookViewId="0">
      <selection activeCell="G27" sqref="G27"/>
    </sheetView>
  </sheetViews>
  <sheetFormatPr defaultRowHeight="15" x14ac:dyDescent="0.25"/>
  <cols>
    <col min="1" max="1" width="9" customWidth="1"/>
    <col min="2" max="2" width="22.5703125" customWidth="1"/>
    <col min="3" max="3" width="14.5703125" bestFit="1" customWidth="1"/>
    <col min="4" max="4" width="21.42578125" customWidth="1"/>
    <col min="5" max="5" width="19.7109375" customWidth="1"/>
  </cols>
  <sheetData>
    <row r="1" spans="1:5" ht="42.75" customHeight="1" x14ac:dyDescent="0.3">
      <c r="A1" s="1077" t="s">
        <v>1195</v>
      </c>
      <c r="B1" s="1077"/>
      <c r="C1" s="1077"/>
      <c r="D1" s="1077"/>
      <c r="E1" s="1077"/>
    </row>
    <row r="2" spans="1:5" x14ac:dyDescent="0.25">
      <c r="A2" s="1047" t="s">
        <v>1196</v>
      </c>
      <c r="B2" s="1047"/>
      <c r="C2" s="1047"/>
      <c r="D2" s="1047"/>
      <c r="E2" s="1047"/>
    </row>
    <row r="4" spans="1:5" ht="16.5" thickBot="1" x14ac:dyDescent="0.3">
      <c r="B4" s="235"/>
      <c r="C4" s="236"/>
    </row>
    <row r="5" spans="1:5" ht="45" x14ac:dyDescent="0.25">
      <c r="A5" s="1048" t="s">
        <v>652</v>
      </c>
      <c r="B5" s="1049"/>
      <c r="C5" s="237" t="s">
        <v>623</v>
      </c>
      <c r="D5" s="237" t="s">
        <v>1191</v>
      </c>
      <c r="E5" s="238" t="s">
        <v>626</v>
      </c>
    </row>
    <row r="6" spans="1:5" ht="15.75" thickBot="1" x14ac:dyDescent="0.3">
      <c r="A6" s="1041" t="s">
        <v>1197</v>
      </c>
      <c r="B6" s="1042"/>
      <c r="C6" s="767">
        <f>(47027721+163437016)*1.27</f>
        <v>267290215.99000001</v>
      </c>
      <c r="D6" s="768">
        <f>D7+D8</f>
        <v>257130216</v>
      </c>
      <c r="E6" s="239" t="s">
        <v>78</v>
      </c>
    </row>
    <row r="7" spans="1:5" ht="32.25" customHeight="1" thickBot="1" x14ac:dyDescent="0.3">
      <c r="A7" s="1090" t="s">
        <v>1198</v>
      </c>
      <c r="B7" s="1091"/>
      <c r="C7" s="780">
        <f>(47027721)*1.27</f>
        <v>59725205.670000002</v>
      </c>
      <c r="D7" s="781">
        <v>49565206</v>
      </c>
      <c r="E7" s="782">
        <f>C7-D7</f>
        <v>10159999.670000002</v>
      </c>
    </row>
    <row r="8" spans="1:5" ht="31.5" customHeight="1" thickBot="1" x14ac:dyDescent="0.3">
      <c r="A8" s="1088" t="s">
        <v>1199</v>
      </c>
      <c r="B8" s="1089"/>
      <c r="C8" s="783">
        <f>(163437016)*1.27</f>
        <v>207565010.31999999</v>
      </c>
      <c r="D8" s="784">
        <v>207565010</v>
      </c>
      <c r="E8" s="785">
        <f>C8-D8</f>
        <v>0.31999999284744263</v>
      </c>
    </row>
    <row r="9" spans="1:5" ht="45" x14ac:dyDescent="0.25">
      <c r="A9" s="1084" t="s">
        <v>628</v>
      </c>
      <c r="B9" s="1085"/>
      <c r="C9" s="240" t="s">
        <v>629</v>
      </c>
      <c r="D9" s="237" t="s">
        <v>1190</v>
      </c>
      <c r="E9" s="238" t="s">
        <v>626</v>
      </c>
    </row>
    <row r="10" spans="1:5" ht="45.75" customHeight="1" x14ac:dyDescent="0.25">
      <c r="A10" s="1092" t="s">
        <v>1200</v>
      </c>
      <c r="B10" s="1093"/>
      <c r="C10" s="786"/>
      <c r="D10" s="800">
        <f>SUM(D11:D21)</f>
        <v>14750942</v>
      </c>
      <c r="E10" s="801">
        <f>SUM(E11:E21)</f>
        <v>44974263.670000002</v>
      </c>
    </row>
    <row r="11" spans="1:5" x14ac:dyDescent="0.25">
      <c r="A11" s="787" t="s">
        <v>3</v>
      </c>
      <c r="B11" s="788" t="s">
        <v>1201</v>
      </c>
      <c r="C11" s="789">
        <f>5600000*1.27</f>
        <v>7112000</v>
      </c>
      <c r="D11" s="802">
        <v>6604000</v>
      </c>
      <c r="E11" s="790">
        <f t="shared" ref="E11:E21" si="0">C11-(SUM(D11))</f>
        <v>508000</v>
      </c>
    </row>
    <row r="12" spans="1:5" x14ac:dyDescent="0.25">
      <c r="A12" s="787" t="s">
        <v>4</v>
      </c>
      <c r="B12" s="791" t="s">
        <v>1202</v>
      </c>
      <c r="C12" s="789">
        <f>800000*1.27</f>
        <v>1016000</v>
      </c>
      <c r="D12" s="802" t="s">
        <v>78</v>
      </c>
      <c r="E12" s="790">
        <f t="shared" si="0"/>
        <v>1016000</v>
      </c>
    </row>
    <row r="13" spans="1:5" x14ac:dyDescent="0.25">
      <c r="A13" s="787" t="s">
        <v>5</v>
      </c>
      <c r="B13" s="788" t="s">
        <v>1203</v>
      </c>
      <c r="C13" s="789">
        <f>1200000*1.27</f>
        <v>1524000</v>
      </c>
      <c r="D13" s="802" t="s">
        <v>78</v>
      </c>
      <c r="E13" s="790">
        <f t="shared" si="0"/>
        <v>1524000</v>
      </c>
    </row>
    <row r="14" spans="1:5" x14ac:dyDescent="0.25">
      <c r="A14" s="787" t="s">
        <v>6</v>
      </c>
      <c r="B14" s="788" t="s">
        <v>1204</v>
      </c>
      <c r="C14" s="789">
        <f>18109000*1.27</f>
        <v>22998430</v>
      </c>
      <c r="D14" s="802" t="s">
        <v>78</v>
      </c>
      <c r="E14" s="790">
        <f t="shared" si="0"/>
        <v>22998430</v>
      </c>
    </row>
    <row r="15" spans="1:5" x14ac:dyDescent="0.25">
      <c r="A15" s="787" t="s">
        <v>7</v>
      </c>
      <c r="B15" s="788" t="s">
        <v>1205</v>
      </c>
      <c r="C15" s="789">
        <f>8000000*1.27</f>
        <v>10160000</v>
      </c>
      <c r="D15" s="802" t="s">
        <v>78</v>
      </c>
      <c r="E15" s="790">
        <f t="shared" si="0"/>
        <v>10160000</v>
      </c>
    </row>
    <row r="16" spans="1:5" ht="30" x14ac:dyDescent="0.25">
      <c r="A16" s="787" t="s">
        <v>8</v>
      </c>
      <c r="B16" s="792" t="s">
        <v>1206</v>
      </c>
      <c r="C16" s="789">
        <f>4500000*1.27</f>
        <v>5715000</v>
      </c>
      <c r="D16" s="802">
        <v>5715000</v>
      </c>
      <c r="E16" s="790">
        <f t="shared" si="0"/>
        <v>0</v>
      </c>
    </row>
    <row r="17" spans="1:5" x14ac:dyDescent="0.25">
      <c r="A17" s="787" t="s">
        <v>9</v>
      </c>
      <c r="B17" s="788" t="s">
        <v>1207</v>
      </c>
      <c r="C17" s="789">
        <f>1800000*1.27</f>
        <v>2286000</v>
      </c>
      <c r="D17" s="802" t="s">
        <v>78</v>
      </c>
      <c r="E17" s="790">
        <f t="shared" si="0"/>
        <v>2286000</v>
      </c>
    </row>
    <row r="18" spans="1:5" ht="30" x14ac:dyDescent="0.25">
      <c r="A18" s="787" t="s">
        <v>23</v>
      </c>
      <c r="B18" s="788" t="s">
        <v>1208</v>
      </c>
      <c r="C18" s="789">
        <f>558721*1.27</f>
        <v>709575.67</v>
      </c>
      <c r="D18" s="802" t="s">
        <v>78</v>
      </c>
      <c r="E18" s="790">
        <f t="shared" si="0"/>
        <v>709575.67</v>
      </c>
    </row>
    <row r="19" spans="1:5" ht="30" x14ac:dyDescent="0.25">
      <c r="A19" s="787" t="s">
        <v>25</v>
      </c>
      <c r="B19" s="791" t="s">
        <v>1209</v>
      </c>
      <c r="C19" s="789">
        <f>1350000*1.27</f>
        <v>1714500</v>
      </c>
      <c r="D19" s="802" t="s">
        <v>78</v>
      </c>
      <c r="E19" s="790">
        <f t="shared" si="0"/>
        <v>1714500</v>
      </c>
    </row>
    <row r="20" spans="1:5" x14ac:dyDescent="0.25">
      <c r="A20" s="787" t="s">
        <v>27</v>
      </c>
      <c r="B20" s="788" t="s">
        <v>1210</v>
      </c>
      <c r="C20" s="789">
        <f>4500000*1.27</f>
        <v>5715000</v>
      </c>
      <c r="D20" s="802">
        <v>2431942</v>
      </c>
      <c r="E20" s="790">
        <f t="shared" si="0"/>
        <v>3283058</v>
      </c>
    </row>
    <row r="21" spans="1:5" ht="30" x14ac:dyDescent="0.25">
      <c r="A21" s="787" t="s">
        <v>30</v>
      </c>
      <c r="B21" s="788" t="s">
        <v>1211</v>
      </c>
      <c r="C21" s="789">
        <f>610000*1.27</f>
        <v>774700</v>
      </c>
      <c r="D21" s="802" t="s">
        <v>78</v>
      </c>
      <c r="E21" s="790">
        <f t="shared" si="0"/>
        <v>774700</v>
      </c>
    </row>
    <row r="22" spans="1:5" ht="33" customHeight="1" x14ac:dyDescent="0.25">
      <c r="A22" s="1094" t="s">
        <v>1212</v>
      </c>
      <c r="B22" s="1095"/>
      <c r="C22" s="793"/>
      <c r="D22" s="803">
        <f>SUM(D23:D24)</f>
        <v>37273885</v>
      </c>
      <c r="E22" s="794">
        <f>SUM(E23:E24)</f>
        <v>170291125.31999999</v>
      </c>
    </row>
    <row r="23" spans="1:5" x14ac:dyDescent="0.25">
      <c r="A23" s="795" t="s">
        <v>32</v>
      </c>
      <c r="B23" s="796" t="s">
        <v>1213</v>
      </c>
      <c r="C23" s="793">
        <f>450000*1.27</f>
        <v>571500</v>
      </c>
      <c r="D23" s="797" t="s">
        <v>78</v>
      </c>
      <c r="E23" s="798">
        <f>C23-(SUM(D23))</f>
        <v>571500</v>
      </c>
    </row>
    <row r="24" spans="1:5" ht="15.75" thickBot="1" x14ac:dyDescent="0.3">
      <c r="A24" s="795" t="s">
        <v>33</v>
      </c>
      <c r="B24" s="796" t="s">
        <v>1204</v>
      </c>
      <c r="C24" s="793">
        <f>162987016*1.27</f>
        <v>206993510.31999999</v>
      </c>
      <c r="D24" s="797">
        <f>37273885</f>
        <v>37273885</v>
      </c>
      <c r="E24" s="798">
        <f>C24-(SUM(D24))</f>
        <v>169719625.31999999</v>
      </c>
    </row>
    <row r="25" spans="1:5" ht="15.75" thickBot="1" x14ac:dyDescent="0.3">
      <c r="A25" s="1059" t="s">
        <v>714</v>
      </c>
      <c r="B25" s="1060"/>
      <c r="C25" s="245">
        <f>SUM(C11:C24)</f>
        <v>267290215.99000001</v>
      </c>
      <c r="D25" s="393">
        <f>D10+D22</f>
        <v>52024827</v>
      </c>
      <c r="E25" s="393">
        <f>E10+E22</f>
        <v>215265388.99000001</v>
      </c>
    </row>
    <row r="27" spans="1:5" x14ac:dyDescent="0.25">
      <c r="A27" s="1074"/>
      <c r="B27" s="1074"/>
      <c r="C27" s="1074"/>
      <c r="D27" s="1074"/>
      <c r="E27" s="1074"/>
    </row>
  </sheetData>
  <mergeCells count="11">
    <mergeCell ref="A9:B9"/>
    <mergeCell ref="A10:B10"/>
    <mergeCell ref="A22:B22"/>
    <mergeCell ref="A25:B25"/>
    <mergeCell ref="A27:E27"/>
    <mergeCell ref="A8:B8"/>
    <mergeCell ref="A1:E1"/>
    <mergeCell ref="A2:E2"/>
    <mergeCell ref="A5:B5"/>
    <mergeCell ref="A6:B6"/>
    <mergeCell ref="A7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&amp;CDunaharaszti Város Önkormányzata
2022. évi zárszámadás&amp;R&amp;A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3A9D6-F443-42F6-A465-B82E984C7854}">
  <sheetPr>
    <tabColor theme="3" tint="0.59999389629810485"/>
  </sheetPr>
  <dimension ref="A1:E24"/>
  <sheetViews>
    <sheetView view="pageBreakPreview" zoomScaleNormal="100" zoomScaleSheetLayoutView="100" workbookViewId="0">
      <selection activeCell="H21" sqref="H21"/>
    </sheetView>
  </sheetViews>
  <sheetFormatPr defaultRowHeight="15" x14ac:dyDescent="0.25"/>
  <cols>
    <col min="1" max="1" width="4.85546875" customWidth="1"/>
    <col min="2" max="2" width="30.5703125" bestFit="1" customWidth="1"/>
    <col min="3" max="5" width="19.5703125" customWidth="1"/>
  </cols>
  <sheetData>
    <row r="1" spans="1:5" ht="18.75" x14ac:dyDescent="0.3">
      <c r="B1" s="1046" t="s">
        <v>1214</v>
      </c>
      <c r="C1" s="1046"/>
      <c r="D1" s="1046"/>
      <c r="E1" s="1046"/>
    </row>
    <row r="2" spans="1:5" ht="18.75" x14ac:dyDescent="0.3">
      <c r="B2" s="746"/>
      <c r="C2" s="746"/>
      <c r="D2" s="746"/>
      <c r="E2" s="746"/>
    </row>
    <row r="3" spans="1:5" x14ac:dyDescent="0.25">
      <c r="B3" s="1047" t="s">
        <v>1215</v>
      </c>
      <c r="C3" s="1047"/>
      <c r="D3" s="1047"/>
      <c r="E3" s="1047"/>
    </row>
    <row r="4" spans="1:5" ht="15.75" x14ac:dyDescent="0.25">
      <c r="B4" s="1078" t="s">
        <v>1216</v>
      </c>
      <c r="C4" s="1078"/>
      <c r="D4" s="1078"/>
      <c r="E4" s="1078"/>
    </row>
    <row r="6" spans="1:5" ht="15.75" x14ac:dyDescent="0.25">
      <c r="B6" s="235"/>
      <c r="C6" s="236"/>
    </row>
    <row r="7" spans="1:5" ht="72" customHeight="1" x14ac:dyDescent="0.25">
      <c r="A7" s="1076" t="s">
        <v>622</v>
      </c>
      <c r="B7" s="1076"/>
      <c r="C7" s="596" t="s">
        <v>623</v>
      </c>
      <c r="D7" s="596" t="s">
        <v>1189</v>
      </c>
      <c r="E7" s="596" t="s">
        <v>811</v>
      </c>
    </row>
    <row r="8" spans="1:5" x14ac:dyDescent="0.25">
      <c r="A8" s="1079" t="s">
        <v>1217</v>
      </c>
      <c r="B8" s="1079"/>
      <c r="C8" s="593">
        <v>7723234</v>
      </c>
      <c r="D8" s="593">
        <v>7723234</v>
      </c>
      <c r="E8" s="593">
        <v>0</v>
      </c>
    </row>
    <row r="9" spans="1:5" ht="61.5" customHeight="1" x14ac:dyDescent="0.25">
      <c r="A9" s="1076" t="s">
        <v>342</v>
      </c>
      <c r="B9" s="1076"/>
      <c r="C9" s="596" t="s">
        <v>629</v>
      </c>
      <c r="D9" s="596" t="s">
        <v>797</v>
      </c>
      <c r="E9" s="596" t="s">
        <v>1218</v>
      </c>
    </row>
    <row r="10" spans="1:5" ht="18" customHeight="1" x14ac:dyDescent="0.25">
      <c r="A10" s="1075" t="s">
        <v>812</v>
      </c>
      <c r="B10" s="1075"/>
      <c r="C10" s="593">
        <v>6834720</v>
      </c>
      <c r="D10" s="799">
        <v>6420000</v>
      </c>
      <c r="E10" s="593">
        <f>+C10-D10</f>
        <v>414720</v>
      </c>
    </row>
    <row r="11" spans="1:5" ht="18" customHeight="1" x14ac:dyDescent="0.25">
      <c r="A11" s="1096" t="s">
        <v>1219</v>
      </c>
      <c r="B11" s="1097"/>
      <c r="C11" s="593">
        <v>888514</v>
      </c>
      <c r="D11" s="799">
        <v>834600</v>
      </c>
      <c r="E11" s="593">
        <f>+C11-D11</f>
        <v>53914</v>
      </c>
    </row>
    <row r="12" spans="1:5" ht="27.75" customHeight="1" x14ac:dyDescent="0.25">
      <c r="A12" s="1076" t="s">
        <v>714</v>
      </c>
      <c r="B12" s="1076"/>
      <c r="C12" s="598">
        <f>SUM(C10:C11)</f>
        <v>7723234</v>
      </c>
      <c r="D12" s="598">
        <f t="shared" ref="D12:E12" si="0">SUM(D10:D11)</f>
        <v>7254600</v>
      </c>
      <c r="E12" s="598">
        <f t="shared" si="0"/>
        <v>468634</v>
      </c>
    </row>
    <row r="15" spans="1:5" x14ac:dyDescent="0.25">
      <c r="B15" s="1047" t="s">
        <v>1220</v>
      </c>
      <c r="C15" s="1047"/>
      <c r="D15" s="1047"/>
      <c r="E15" s="1047"/>
    </row>
    <row r="16" spans="1:5" ht="15.75" x14ac:dyDescent="0.25">
      <c r="B16" s="1078" t="s">
        <v>1221</v>
      </c>
      <c r="C16" s="1078"/>
      <c r="D16" s="1078"/>
      <c r="E16" s="1078"/>
    </row>
    <row r="18" spans="1:5" ht="15.75" x14ac:dyDescent="0.25">
      <c r="B18" s="235"/>
      <c r="C18" s="236"/>
    </row>
    <row r="19" spans="1:5" ht="60" x14ac:dyDescent="0.25">
      <c r="A19" s="1076" t="s">
        <v>622</v>
      </c>
      <c r="B19" s="1076"/>
      <c r="C19" s="596" t="s">
        <v>623</v>
      </c>
      <c r="D19" s="596" t="s">
        <v>1189</v>
      </c>
      <c r="E19" s="596" t="s">
        <v>811</v>
      </c>
    </row>
    <row r="20" spans="1:5" x14ac:dyDescent="0.25">
      <c r="A20" s="1079" t="s">
        <v>1217</v>
      </c>
      <c r="B20" s="1079"/>
      <c r="C20" s="593">
        <v>8841120</v>
      </c>
      <c r="D20" s="593">
        <f>+C20</f>
        <v>8841120</v>
      </c>
      <c r="E20" s="593">
        <v>0</v>
      </c>
    </row>
    <row r="21" spans="1:5" ht="53.25" customHeight="1" x14ac:dyDescent="0.25">
      <c r="A21" s="1076" t="s">
        <v>342</v>
      </c>
      <c r="B21" s="1076"/>
      <c r="C21" s="596" t="s">
        <v>629</v>
      </c>
      <c r="D21" s="596" t="s">
        <v>797</v>
      </c>
      <c r="E21" s="596" t="s">
        <v>1218</v>
      </c>
    </row>
    <row r="22" spans="1:5" x14ac:dyDescent="0.25">
      <c r="A22" s="1075" t="s">
        <v>812</v>
      </c>
      <c r="B22" s="1075"/>
      <c r="C22" s="593">
        <v>7824000</v>
      </c>
      <c r="D22" s="799">
        <f>+C22</f>
        <v>7824000</v>
      </c>
      <c r="E22" s="593"/>
    </row>
    <row r="23" spans="1:5" x14ac:dyDescent="0.25">
      <c r="A23" s="1096" t="s">
        <v>1219</v>
      </c>
      <c r="B23" s="1097"/>
      <c r="C23" s="593">
        <v>1017120</v>
      </c>
      <c r="D23" s="799">
        <f>+C23</f>
        <v>1017120</v>
      </c>
      <c r="E23" s="593"/>
    </row>
    <row r="24" spans="1:5" x14ac:dyDescent="0.25">
      <c r="A24" s="1076" t="s">
        <v>714</v>
      </c>
      <c r="B24" s="1076"/>
      <c r="C24" s="598">
        <f>SUM(C22:C23)</f>
        <v>8841120</v>
      </c>
      <c r="D24" s="598">
        <f t="shared" ref="D24:E24" si="1">SUM(D22:D23)</f>
        <v>8841120</v>
      </c>
      <c r="E24" s="598">
        <f t="shared" si="1"/>
        <v>0</v>
      </c>
    </row>
  </sheetData>
  <mergeCells count="17">
    <mergeCell ref="A20:B20"/>
    <mergeCell ref="A21:B21"/>
    <mergeCell ref="A22:B22"/>
    <mergeCell ref="A23:B23"/>
    <mergeCell ref="A24:B24"/>
    <mergeCell ref="A19:B19"/>
    <mergeCell ref="B1:E1"/>
    <mergeCell ref="B3:E3"/>
    <mergeCell ref="B4:E4"/>
    <mergeCell ref="A7:B7"/>
    <mergeCell ref="A8:B8"/>
    <mergeCell ref="A9:B9"/>
    <mergeCell ref="A10:B10"/>
    <mergeCell ref="A11:B11"/>
    <mergeCell ref="A12:B12"/>
    <mergeCell ref="B15:E15"/>
    <mergeCell ref="B16:E16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82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CC78-3D75-4F9E-AA2E-B6446C1E78CE}">
  <sheetPr>
    <tabColor theme="0"/>
  </sheetPr>
  <dimension ref="A1:H14"/>
  <sheetViews>
    <sheetView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49.140625" customWidth="1"/>
    <col min="2" max="2" width="12.7109375" customWidth="1"/>
    <col min="3" max="3" width="10.140625" customWidth="1"/>
    <col min="5" max="5" width="11.140625" customWidth="1"/>
  </cols>
  <sheetData>
    <row r="1" spans="1:8" ht="37.5" customHeight="1" x14ac:dyDescent="0.3">
      <c r="A1" s="1098" t="s">
        <v>639</v>
      </c>
      <c r="B1" s="1098"/>
      <c r="C1" s="1098"/>
      <c r="D1" s="1098"/>
      <c r="E1" s="1098"/>
      <c r="F1" s="1098"/>
      <c r="G1" s="1098"/>
      <c r="H1" s="1098"/>
    </row>
    <row r="2" spans="1:8" x14ac:dyDescent="0.25">
      <c r="A2" s="55"/>
      <c r="B2" s="55"/>
      <c r="C2" s="55"/>
      <c r="D2" s="57"/>
      <c r="E2" s="57"/>
      <c r="F2" s="57"/>
    </row>
    <row r="3" spans="1:8" ht="18.75" x14ac:dyDescent="0.25">
      <c r="A3" s="1099"/>
      <c r="B3" s="1099"/>
      <c r="C3" s="1099"/>
      <c r="D3" s="1099"/>
      <c r="E3" s="57"/>
      <c r="F3" s="57"/>
    </row>
    <row r="4" spans="1:8" x14ac:dyDescent="0.25">
      <c r="A4" s="57"/>
      <c r="B4" s="57"/>
      <c r="C4" s="57"/>
      <c r="D4" s="57"/>
      <c r="E4" s="57"/>
      <c r="F4" s="57"/>
    </row>
    <row r="5" spans="1:8" ht="15.75" x14ac:dyDescent="0.25">
      <c r="A5" s="1100" t="s">
        <v>640</v>
      </c>
      <c r="B5" s="1100"/>
      <c r="C5" s="1100"/>
      <c r="D5" s="1100"/>
      <c r="E5" s="1100"/>
      <c r="F5" s="1100"/>
    </row>
    <row r="6" spans="1:8" ht="15.75" x14ac:dyDescent="0.25">
      <c r="A6" s="243" t="s">
        <v>641</v>
      </c>
      <c r="B6" s="243"/>
      <c r="C6" s="243"/>
      <c r="D6" s="57"/>
      <c r="E6" s="57"/>
      <c r="F6" s="57"/>
    </row>
    <row r="7" spans="1:8" ht="15.75" x14ac:dyDescent="0.25">
      <c r="A7" s="243"/>
      <c r="B7" s="243"/>
      <c r="C7" s="243"/>
      <c r="D7" s="57"/>
      <c r="E7" s="57"/>
      <c r="F7" s="57"/>
    </row>
    <row r="8" spans="1:8" ht="15.75" x14ac:dyDescent="0.25">
      <c r="A8" s="244" t="s">
        <v>634</v>
      </c>
      <c r="B8" s="244"/>
      <c r="C8" s="244"/>
      <c r="D8" s="57"/>
      <c r="E8" s="57"/>
      <c r="F8" s="57"/>
    </row>
    <row r="9" spans="1:8" ht="16.5" x14ac:dyDescent="0.25">
      <c r="A9" s="1101"/>
      <c r="B9" s="1101"/>
      <c r="C9" s="1101"/>
      <c r="D9" s="1101"/>
      <c r="E9" s="1101"/>
      <c r="F9" s="1101"/>
    </row>
    <row r="10" spans="1:8" s="77" customFormat="1" ht="17.25" customHeight="1" x14ac:dyDescent="0.25">
      <c r="A10" s="1102" t="s">
        <v>556</v>
      </c>
      <c r="B10" s="1103" t="s">
        <v>479</v>
      </c>
      <c r="C10" s="1102" t="s">
        <v>277</v>
      </c>
      <c r="D10" s="1106" t="s">
        <v>559</v>
      </c>
      <c r="E10" s="1107"/>
      <c r="F10" s="1107"/>
      <c r="G10" s="1107"/>
      <c r="H10" s="1108"/>
    </row>
    <row r="11" spans="1:8" s="77" customFormat="1" ht="15.75" x14ac:dyDescent="0.25">
      <c r="A11" s="1102"/>
      <c r="B11" s="1104"/>
      <c r="C11" s="1102"/>
      <c r="D11" s="1109"/>
      <c r="E11" s="1110"/>
      <c r="F11" s="1110"/>
      <c r="G11" s="1110"/>
      <c r="H11" s="1111"/>
    </row>
    <row r="12" spans="1:8" s="77" customFormat="1" ht="15.75" x14ac:dyDescent="0.25">
      <c r="A12" s="1102"/>
      <c r="B12" s="1105"/>
      <c r="C12" s="609">
        <v>2018</v>
      </c>
      <c r="D12" s="609">
        <v>2019</v>
      </c>
      <c r="E12" s="609">
        <v>2020</v>
      </c>
      <c r="F12" s="609">
        <v>2021</v>
      </c>
      <c r="G12" s="609">
        <v>2022</v>
      </c>
      <c r="H12" s="609">
        <v>2023</v>
      </c>
    </row>
    <row r="13" spans="1:8" s="77" customFormat="1" ht="21" customHeight="1" x14ac:dyDescent="0.25">
      <c r="A13" s="610" t="s">
        <v>642</v>
      </c>
      <c r="B13" s="611" t="s">
        <v>643</v>
      </c>
      <c r="C13" s="612">
        <v>2</v>
      </c>
      <c r="D13" s="612">
        <v>2</v>
      </c>
      <c r="E13" s="612">
        <v>2</v>
      </c>
      <c r="F13" s="612">
        <v>2</v>
      </c>
      <c r="G13" s="612">
        <v>2</v>
      </c>
      <c r="H13" s="612">
        <v>2</v>
      </c>
    </row>
    <row r="14" spans="1:8" s="78" customFormat="1" x14ac:dyDescent="0.25"/>
  </sheetData>
  <mergeCells count="8">
    <mergeCell ref="A1:H1"/>
    <mergeCell ref="A3:D3"/>
    <mergeCell ref="A5:F5"/>
    <mergeCell ref="A9:F9"/>
    <mergeCell ref="A10:A12"/>
    <mergeCell ref="B10:B12"/>
    <mergeCell ref="C10:C11"/>
    <mergeCell ref="D10:H1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2" orientation="portrait" r:id="rId1"/>
  <headerFooter>
    <oddHeader>&amp;CDunaharaszti Város Önkormányzata
2022. évi zárszámadás&amp;R&amp;A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306C-9A0E-448F-8518-2FB4DBEE2138}">
  <sheetPr>
    <tabColor theme="0"/>
  </sheetPr>
  <dimension ref="A1:R16"/>
  <sheetViews>
    <sheetView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49.140625" customWidth="1"/>
    <col min="2" max="2" width="12.7109375" customWidth="1"/>
    <col min="3" max="3" width="13.28515625" customWidth="1"/>
    <col min="4" max="16" width="11.85546875" bestFit="1" customWidth="1"/>
    <col min="17" max="17" width="13.140625" bestFit="1" customWidth="1"/>
    <col min="18" max="18" width="11.85546875" bestFit="1" customWidth="1"/>
  </cols>
  <sheetData>
    <row r="1" spans="1:18" ht="37.5" customHeight="1" x14ac:dyDescent="0.3">
      <c r="A1" s="1098" t="s">
        <v>644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</row>
    <row r="2" spans="1:18" x14ac:dyDescent="0.25">
      <c r="A2" s="55"/>
      <c r="B2" s="55"/>
      <c r="C2" s="55"/>
      <c r="D2" s="57"/>
      <c r="E2" s="57"/>
      <c r="F2" s="57"/>
    </row>
    <row r="3" spans="1:18" ht="18.75" x14ac:dyDescent="0.25">
      <c r="A3" s="1099"/>
      <c r="B3" s="1099"/>
      <c r="C3" s="1099"/>
      <c r="D3" s="1099"/>
      <c r="E3" s="57"/>
      <c r="F3" s="57"/>
    </row>
    <row r="4" spans="1:18" x14ac:dyDescent="0.25">
      <c r="A4" s="57"/>
      <c r="B4" s="57"/>
      <c r="C4" s="57"/>
      <c r="D4" s="57"/>
      <c r="E4" s="57"/>
      <c r="F4" s="57"/>
    </row>
    <row r="5" spans="1:18" ht="15.75" x14ac:dyDescent="0.25">
      <c r="A5" s="1100" t="s">
        <v>645</v>
      </c>
      <c r="B5" s="1100"/>
      <c r="C5" s="1100"/>
      <c r="D5" s="1100"/>
      <c r="E5" s="1100"/>
      <c r="F5" s="1100"/>
    </row>
    <row r="6" spans="1:18" ht="15.75" x14ac:dyDescent="0.25">
      <c r="A6" s="243" t="s">
        <v>646</v>
      </c>
      <c r="B6" s="243"/>
      <c r="C6" s="243"/>
      <c r="D6" s="57"/>
      <c r="E6" s="57"/>
      <c r="F6" s="57"/>
    </row>
    <row r="7" spans="1:18" ht="15.75" x14ac:dyDescent="0.25">
      <c r="A7" s="243"/>
      <c r="B7" s="243"/>
      <c r="C7" s="243"/>
      <c r="D7" s="57"/>
      <c r="E7" s="57"/>
      <c r="F7" s="57"/>
    </row>
    <row r="8" spans="1:18" ht="15.75" x14ac:dyDescent="0.25">
      <c r="A8" s="244" t="s">
        <v>634</v>
      </c>
      <c r="B8" s="244"/>
      <c r="C8" s="244"/>
      <c r="D8" s="57"/>
      <c r="E8" s="57"/>
      <c r="F8" s="57"/>
    </row>
    <row r="9" spans="1:18" ht="16.5" x14ac:dyDescent="0.25">
      <c r="A9" s="1101"/>
      <c r="B9" s="1101"/>
      <c r="C9" s="1101"/>
      <c r="D9" s="1101"/>
      <c r="E9" s="1101"/>
      <c r="F9" s="1101"/>
    </row>
    <row r="10" spans="1:18" s="77" customFormat="1" ht="31.5" customHeight="1" x14ac:dyDescent="0.25">
      <c r="A10" s="1102" t="s">
        <v>556</v>
      </c>
      <c r="B10" s="1103" t="s">
        <v>479</v>
      </c>
      <c r="C10" s="1102" t="s">
        <v>277</v>
      </c>
      <c r="D10" s="1106" t="s">
        <v>559</v>
      </c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8"/>
    </row>
    <row r="11" spans="1:18" s="77" customFormat="1" ht="15.75" x14ac:dyDescent="0.25">
      <c r="A11" s="1102"/>
      <c r="B11" s="1104"/>
      <c r="C11" s="1102"/>
      <c r="D11" s="1109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1"/>
    </row>
    <row r="12" spans="1:18" s="77" customFormat="1" ht="15.75" x14ac:dyDescent="0.25">
      <c r="A12" s="1102"/>
      <c r="B12" s="1105"/>
      <c r="C12" s="609">
        <v>2018</v>
      </c>
      <c r="D12" s="609">
        <v>2019</v>
      </c>
      <c r="E12" s="609">
        <v>2020</v>
      </c>
      <c r="F12" s="609">
        <v>2021</v>
      </c>
      <c r="G12" s="609">
        <v>2022</v>
      </c>
      <c r="H12" s="609">
        <v>2023</v>
      </c>
      <c r="I12" s="609">
        <v>2024</v>
      </c>
      <c r="J12" s="609">
        <v>2025</v>
      </c>
      <c r="K12" s="609">
        <v>2026</v>
      </c>
      <c r="L12" s="609">
        <v>2027</v>
      </c>
      <c r="M12" s="609">
        <v>2028</v>
      </c>
      <c r="N12" s="609">
        <v>2029</v>
      </c>
      <c r="O12" s="609">
        <v>2030</v>
      </c>
      <c r="P12" s="609">
        <v>2031</v>
      </c>
      <c r="Q12" s="609">
        <v>2032</v>
      </c>
      <c r="R12" s="609">
        <v>2033</v>
      </c>
    </row>
    <row r="13" spans="1:18" s="77" customFormat="1" ht="20.25" customHeight="1" x14ac:dyDescent="0.25">
      <c r="A13" s="610" t="s">
        <v>647</v>
      </c>
      <c r="B13" s="611" t="s">
        <v>482</v>
      </c>
      <c r="C13" s="612">
        <v>1190</v>
      </c>
      <c r="D13" s="612">
        <v>1190</v>
      </c>
      <c r="E13" s="612">
        <v>1190</v>
      </c>
      <c r="F13" s="612">
        <v>1190</v>
      </c>
      <c r="G13" s="612">
        <v>1190</v>
      </c>
      <c r="H13" s="612">
        <v>1190</v>
      </c>
      <c r="I13" s="612">
        <v>1190</v>
      </c>
      <c r="J13" s="612">
        <v>1190</v>
      </c>
      <c r="K13" s="612">
        <v>1190</v>
      </c>
      <c r="L13" s="612">
        <v>1190</v>
      </c>
      <c r="M13" s="612">
        <v>1190</v>
      </c>
      <c r="N13" s="612">
        <v>1190</v>
      </c>
      <c r="O13" s="612">
        <v>1190</v>
      </c>
      <c r="P13" s="612">
        <v>1190</v>
      </c>
      <c r="Q13" s="612">
        <v>1190</v>
      </c>
      <c r="R13" s="612">
        <v>1190</v>
      </c>
    </row>
    <row r="14" spans="1:18" s="77" customFormat="1" ht="20.25" customHeight="1" x14ac:dyDescent="0.25">
      <c r="A14" s="610" t="s">
        <v>648</v>
      </c>
      <c r="B14" s="611" t="s">
        <v>483</v>
      </c>
      <c r="C14" s="613">
        <v>4499000</v>
      </c>
      <c r="D14" s="613">
        <v>4543990</v>
      </c>
      <c r="E14" s="613">
        <v>4566710</v>
      </c>
      <c r="F14" s="613">
        <v>4589543</v>
      </c>
      <c r="G14" s="613">
        <v>4612491</v>
      </c>
      <c r="H14" s="613">
        <v>4635553</v>
      </c>
      <c r="I14" s="613">
        <v>4658731</v>
      </c>
      <c r="J14" s="613">
        <v>4682025</v>
      </c>
      <c r="K14" s="613">
        <v>4705435</v>
      </c>
      <c r="L14" s="613">
        <v>4728962</v>
      </c>
      <c r="M14" s="613">
        <v>4752607</v>
      </c>
      <c r="N14" s="613">
        <v>4776370</v>
      </c>
      <c r="O14" s="613">
        <v>4800252</v>
      </c>
      <c r="P14" s="613">
        <v>4824253</v>
      </c>
      <c r="Q14" s="613">
        <v>4484374</v>
      </c>
      <c r="R14" s="613">
        <v>4872616</v>
      </c>
    </row>
    <row r="15" spans="1:18" s="77" customFormat="1" ht="20.25" customHeight="1" x14ac:dyDescent="0.25">
      <c r="A15" s="610" t="s">
        <v>649</v>
      </c>
      <c r="B15" s="611" t="s">
        <v>635</v>
      </c>
      <c r="C15" s="612">
        <v>50</v>
      </c>
      <c r="D15" s="612">
        <v>50</v>
      </c>
      <c r="E15" s="612">
        <v>50</v>
      </c>
      <c r="F15" s="612">
        <v>50</v>
      </c>
      <c r="G15" s="612">
        <v>50</v>
      </c>
      <c r="H15" s="612">
        <v>50</v>
      </c>
      <c r="I15" s="612">
        <v>50</v>
      </c>
      <c r="J15" s="612">
        <v>50</v>
      </c>
      <c r="K15" s="612">
        <v>50</v>
      </c>
      <c r="L15" s="612">
        <v>50</v>
      </c>
      <c r="M15" s="612">
        <v>50</v>
      </c>
      <c r="N15" s="612">
        <v>50</v>
      </c>
      <c r="O15" s="612">
        <v>50</v>
      </c>
      <c r="P15" s="612">
        <v>50</v>
      </c>
      <c r="Q15" s="612">
        <v>50</v>
      </c>
      <c r="R15" s="612">
        <v>50</v>
      </c>
    </row>
    <row r="16" spans="1:18" s="78" customFormat="1" x14ac:dyDescent="0.25"/>
  </sheetData>
  <mergeCells count="8">
    <mergeCell ref="A1:R1"/>
    <mergeCell ref="A3:D3"/>
    <mergeCell ref="A5:F5"/>
    <mergeCell ref="A9:F9"/>
    <mergeCell ref="A10:A12"/>
    <mergeCell ref="B10:B12"/>
    <mergeCell ref="C10:C11"/>
    <mergeCell ref="D10:R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B542-4AD2-4398-8AAD-F36513C6B1C0}">
  <dimension ref="A4:I16"/>
  <sheetViews>
    <sheetView view="pageBreakPreview" zoomScale="90" zoomScaleNormal="100" zoomScaleSheetLayoutView="90" workbookViewId="0">
      <selection activeCell="G15" sqref="G15"/>
    </sheetView>
  </sheetViews>
  <sheetFormatPr defaultRowHeight="15" x14ac:dyDescent="0.25"/>
  <cols>
    <col min="1" max="1" width="72.28515625" bestFit="1" customWidth="1"/>
    <col min="4" max="9" width="12" bestFit="1" customWidth="1"/>
  </cols>
  <sheetData>
    <row r="4" spans="1:9" ht="17.25" x14ac:dyDescent="0.3">
      <c r="A4" s="1112" t="s">
        <v>250</v>
      </c>
      <c r="B4" s="1112"/>
      <c r="C4" s="1112"/>
      <c r="D4" s="1112"/>
      <c r="E4" s="1112"/>
      <c r="F4" s="1112"/>
      <c r="G4" s="1112"/>
      <c r="H4" s="1112"/>
      <c r="I4" s="1112"/>
    </row>
    <row r="5" spans="1:9" x14ac:dyDescent="0.25">
      <c r="A5" s="55"/>
      <c r="B5" s="55"/>
      <c r="C5" s="55"/>
      <c r="D5" s="57"/>
      <c r="E5" s="57"/>
      <c r="F5" s="57"/>
      <c r="G5" s="57"/>
      <c r="H5" s="57"/>
    </row>
    <row r="6" spans="1:9" ht="18.75" x14ac:dyDescent="0.25">
      <c r="A6" s="1099"/>
      <c r="B6" s="1099"/>
      <c r="C6" s="1099"/>
      <c r="D6" s="1099"/>
      <c r="E6" s="1099"/>
      <c r="F6" s="57"/>
      <c r="G6" s="57"/>
      <c r="H6" s="57"/>
    </row>
    <row r="7" spans="1:9" x14ac:dyDescent="0.25">
      <c r="A7" s="57"/>
      <c r="B7" s="57"/>
      <c r="C7" s="57"/>
      <c r="D7" s="57"/>
      <c r="E7" s="57"/>
      <c r="F7" s="57"/>
      <c r="G7" s="57"/>
      <c r="H7" s="57"/>
    </row>
    <row r="8" spans="1:9" ht="15.75" x14ac:dyDescent="0.25">
      <c r="A8" s="1100" t="s">
        <v>727</v>
      </c>
      <c r="B8" s="1100"/>
      <c r="C8" s="1100"/>
      <c r="D8" s="1100"/>
      <c r="E8" s="1100"/>
      <c r="F8" s="1100"/>
      <c r="G8" s="1100"/>
      <c r="H8" s="1100"/>
      <c r="I8" s="1100"/>
    </row>
    <row r="9" spans="1:9" ht="15.75" x14ac:dyDescent="0.25">
      <c r="A9" s="243" t="s">
        <v>728</v>
      </c>
      <c r="B9" s="243"/>
      <c r="C9" s="243"/>
      <c r="D9" s="57"/>
      <c r="E9" s="57"/>
      <c r="F9" s="57"/>
      <c r="G9" s="57"/>
      <c r="H9" s="57"/>
    </row>
    <row r="10" spans="1:9" ht="15.75" x14ac:dyDescent="0.25">
      <c r="A10" s="243" t="s">
        <v>729</v>
      </c>
      <c r="B10" s="243"/>
      <c r="C10" s="243"/>
      <c r="D10" s="57"/>
      <c r="E10" s="57"/>
      <c r="F10" s="57"/>
      <c r="G10" s="57"/>
      <c r="H10" s="57"/>
    </row>
    <row r="11" spans="1:9" ht="15.75" x14ac:dyDescent="0.25">
      <c r="A11" s="244" t="s">
        <v>252</v>
      </c>
      <c r="B11" s="244"/>
      <c r="C11" s="244"/>
      <c r="D11" s="57"/>
      <c r="E11" s="57"/>
      <c r="F11" s="57"/>
      <c r="G11" s="57"/>
      <c r="H11" s="57"/>
    </row>
    <row r="12" spans="1:9" ht="16.5" x14ac:dyDescent="0.25">
      <c r="A12" s="1101" t="s">
        <v>276</v>
      </c>
      <c r="B12" s="1101"/>
      <c r="C12" s="1101"/>
      <c r="D12" s="1101"/>
      <c r="E12" s="1101"/>
      <c r="F12" s="1101"/>
      <c r="G12" s="1101"/>
      <c r="H12" s="1101"/>
      <c r="I12" s="1101"/>
    </row>
    <row r="13" spans="1:9" ht="15.75" x14ac:dyDescent="0.25">
      <c r="A13" s="1102" t="s">
        <v>556</v>
      </c>
      <c r="B13" s="614" t="s">
        <v>557</v>
      </c>
      <c r="C13" s="1113" t="s">
        <v>558</v>
      </c>
      <c r="D13" s="1114"/>
      <c r="E13" s="1102" t="s">
        <v>559</v>
      </c>
      <c r="F13" s="1102"/>
      <c r="G13" s="1102"/>
      <c r="H13" s="1102"/>
      <c r="I13" s="1102"/>
    </row>
    <row r="14" spans="1:9" ht="15.75" x14ac:dyDescent="0.25">
      <c r="A14" s="1102"/>
      <c r="B14" s="614" t="s">
        <v>560</v>
      </c>
      <c r="C14" s="1113" t="s">
        <v>561</v>
      </c>
      <c r="D14" s="1114"/>
      <c r="E14" s="1102"/>
      <c r="F14" s="1102"/>
      <c r="G14" s="1102"/>
      <c r="H14" s="1102"/>
      <c r="I14" s="1102"/>
    </row>
    <row r="15" spans="1:9" ht="31.5" x14ac:dyDescent="0.25">
      <c r="A15" s="1102"/>
      <c r="B15" s="614" t="s">
        <v>562</v>
      </c>
      <c r="C15" s="609">
        <v>2017</v>
      </c>
      <c r="D15" s="615">
        <v>43404</v>
      </c>
      <c r="E15" s="615">
        <v>43769</v>
      </c>
      <c r="F15" s="615">
        <v>44135</v>
      </c>
      <c r="G15" s="615">
        <v>44500</v>
      </c>
      <c r="H15" s="615">
        <v>44865</v>
      </c>
      <c r="I15" s="615">
        <v>45230</v>
      </c>
    </row>
    <row r="16" spans="1:9" ht="31.5" x14ac:dyDescent="0.25">
      <c r="A16" s="610" t="s">
        <v>730</v>
      </c>
      <c r="B16" s="611" t="s">
        <v>480</v>
      </c>
      <c r="C16" s="612">
        <v>0</v>
      </c>
      <c r="D16" s="612">
        <v>70</v>
      </c>
      <c r="E16" s="612">
        <v>70</v>
      </c>
      <c r="F16" s="612">
        <v>70</v>
      </c>
      <c r="G16" s="612">
        <v>70</v>
      </c>
      <c r="H16" s="612">
        <v>70</v>
      </c>
      <c r="I16" s="612">
        <v>70</v>
      </c>
    </row>
  </sheetData>
  <mergeCells count="8">
    <mergeCell ref="A4:I4"/>
    <mergeCell ref="A6:E6"/>
    <mergeCell ref="A8:I8"/>
    <mergeCell ref="A12:I12"/>
    <mergeCell ref="A13:A15"/>
    <mergeCell ref="C13:D13"/>
    <mergeCell ref="E13:I14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08B8F-56CC-41A6-823E-C4A75381E792}">
  <dimension ref="A1:I14"/>
  <sheetViews>
    <sheetView view="pageBreakPreview" zoomScaleNormal="100" zoomScaleSheetLayoutView="100" workbookViewId="0">
      <selection activeCell="D10" sqref="D10:I11"/>
    </sheetView>
  </sheetViews>
  <sheetFormatPr defaultRowHeight="15" x14ac:dyDescent="0.25"/>
  <cols>
    <col min="1" max="1" width="26" customWidth="1"/>
  </cols>
  <sheetData>
    <row r="1" spans="1:9" ht="17.25" customHeight="1" x14ac:dyDescent="0.3">
      <c r="A1" s="1098" t="s">
        <v>633</v>
      </c>
      <c r="B1" s="1098"/>
      <c r="C1" s="1098"/>
      <c r="D1" s="1098"/>
      <c r="E1" s="1098"/>
      <c r="F1" s="1098"/>
      <c r="G1" s="1098"/>
      <c r="H1" s="1098"/>
    </row>
    <row r="2" spans="1:9" x14ac:dyDescent="0.25">
      <c r="A2" s="55"/>
      <c r="B2" s="55"/>
      <c r="C2" s="55"/>
      <c r="D2" s="57"/>
      <c r="E2" s="57"/>
      <c r="F2" s="57"/>
    </row>
    <row r="3" spans="1:9" ht="18.75" x14ac:dyDescent="0.25">
      <c r="A3" s="1099"/>
      <c r="B3" s="1099"/>
      <c r="C3" s="1099"/>
      <c r="D3" s="1099"/>
      <c r="E3" s="57"/>
      <c r="F3" s="57"/>
    </row>
    <row r="4" spans="1:9" x14ac:dyDescent="0.25">
      <c r="A4" s="57"/>
      <c r="B4" s="57"/>
      <c r="C4" s="57"/>
      <c r="D4" s="57"/>
      <c r="E4" s="57"/>
      <c r="F4" s="57"/>
    </row>
    <row r="5" spans="1:9" ht="30" customHeight="1" x14ac:dyDescent="0.25">
      <c r="A5" s="1115" t="s">
        <v>825</v>
      </c>
      <c r="B5" s="1115"/>
      <c r="C5" s="1115"/>
      <c r="D5" s="1115"/>
      <c r="E5" s="1115"/>
      <c r="F5" s="1115"/>
      <c r="G5" s="1115"/>
      <c r="H5" s="1115"/>
    </row>
    <row r="6" spans="1:9" ht="15.75" x14ac:dyDescent="0.25">
      <c r="A6" s="243" t="s">
        <v>826</v>
      </c>
      <c r="B6" s="243"/>
      <c r="C6" s="243"/>
      <c r="D6" s="57"/>
      <c r="E6" s="57"/>
      <c r="F6" s="57"/>
    </row>
    <row r="7" spans="1:9" ht="15.75" x14ac:dyDescent="0.25">
      <c r="A7" s="243"/>
      <c r="B7" s="243"/>
      <c r="C7" s="243"/>
      <c r="D7" s="57"/>
      <c r="E7" s="57"/>
      <c r="F7" s="57"/>
    </row>
    <row r="8" spans="1:9" ht="15.75" x14ac:dyDescent="0.25">
      <c r="A8" s="244" t="s">
        <v>634</v>
      </c>
      <c r="B8" s="244"/>
      <c r="C8" s="244"/>
      <c r="D8" s="57"/>
      <c r="E8" s="57"/>
      <c r="F8" s="57"/>
    </row>
    <row r="9" spans="1:9" ht="16.5" x14ac:dyDescent="0.25">
      <c r="A9" s="1101"/>
      <c r="B9" s="1101"/>
      <c r="C9" s="1101"/>
      <c r="D9" s="1101"/>
      <c r="E9" s="1101"/>
      <c r="F9" s="1101"/>
    </row>
    <row r="10" spans="1:9" ht="15" customHeight="1" x14ac:dyDescent="0.25">
      <c r="A10" s="1102" t="s">
        <v>556</v>
      </c>
      <c r="B10" s="1103" t="s">
        <v>479</v>
      </c>
      <c r="C10" s="1102" t="s">
        <v>277</v>
      </c>
      <c r="D10" s="1116" t="s">
        <v>559</v>
      </c>
      <c r="E10" s="1117"/>
      <c r="F10" s="1117"/>
      <c r="G10" s="1117"/>
      <c r="H10" s="1117"/>
      <c r="I10" s="1117"/>
    </row>
    <row r="11" spans="1:9" ht="15" customHeight="1" x14ac:dyDescent="0.25">
      <c r="A11" s="1102"/>
      <c r="B11" s="1104"/>
      <c r="C11" s="1102"/>
      <c r="D11" s="1109"/>
      <c r="E11" s="1110"/>
      <c r="F11" s="1110"/>
      <c r="G11" s="1110"/>
      <c r="H11" s="1110"/>
      <c r="I11" s="1110"/>
    </row>
    <row r="12" spans="1:9" ht="15.75" x14ac:dyDescent="0.25">
      <c r="A12" s="1102"/>
      <c r="B12" s="1105"/>
      <c r="C12" s="609">
        <v>2018</v>
      </c>
      <c r="D12" s="609">
        <v>2022</v>
      </c>
      <c r="E12" s="609">
        <v>2023</v>
      </c>
      <c r="F12" s="609">
        <v>2024</v>
      </c>
      <c r="G12" s="609">
        <v>2025</v>
      </c>
      <c r="H12" s="609">
        <v>2026</v>
      </c>
      <c r="I12" s="609">
        <v>2027</v>
      </c>
    </row>
    <row r="13" spans="1:9" ht="47.25" x14ac:dyDescent="0.25">
      <c r="A13" s="610" t="s">
        <v>827</v>
      </c>
      <c r="B13" s="611" t="s">
        <v>635</v>
      </c>
      <c r="C13" s="612">
        <v>265</v>
      </c>
      <c r="D13" s="612">
        <v>265</v>
      </c>
      <c r="E13" s="612">
        <v>265</v>
      </c>
      <c r="F13" s="612">
        <v>265</v>
      </c>
      <c r="G13" s="612">
        <v>265</v>
      </c>
      <c r="H13" s="612">
        <v>265</v>
      </c>
      <c r="I13" s="612">
        <v>265</v>
      </c>
    </row>
    <row r="14" spans="1:9" ht="63" x14ac:dyDescent="0.25">
      <c r="A14" s="610" t="s">
        <v>828</v>
      </c>
      <c r="B14" s="611" t="s">
        <v>635</v>
      </c>
      <c r="C14" s="612">
        <v>1711</v>
      </c>
      <c r="D14" s="612">
        <v>1711</v>
      </c>
      <c r="E14" s="612">
        <v>1711</v>
      </c>
      <c r="F14" s="612">
        <v>1711</v>
      </c>
      <c r="G14" s="612">
        <v>1711</v>
      </c>
      <c r="H14" s="612">
        <v>1711</v>
      </c>
      <c r="I14" s="612">
        <v>1711</v>
      </c>
    </row>
  </sheetData>
  <mergeCells count="8">
    <mergeCell ref="A1:H1"/>
    <mergeCell ref="A3:D3"/>
    <mergeCell ref="A5:H5"/>
    <mergeCell ref="A9:F9"/>
    <mergeCell ref="A10:A12"/>
    <mergeCell ref="B10:B12"/>
    <mergeCell ref="C10:C11"/>
    <mergeCell ref="D10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9"/>
  <sheetViews>
    <sheetView view="pageBreakPreview" topLeftCell="A28" zoomScale="60" zoomScaleNormal="100" zoomScalePageLayoutView="69" workbookViewId="0">
      <selection activeCell="F47" sqref="F47"/>
    </sheetView>
  </sheetViews>
  <sheetFormatPr defaultColWidth="9.140625" defaultRowHeight="15" x14ac:dyDescent="0.25"/>
  <cols>
    <col min="3" max="3" width="78.42578125" customWidth="1"/>
    <col min="4" max="4" width="31.7109375" customWidth="1"/>
    <col min="5" max="5" width="33.5703125" customWidth="1"/>
    <col min="6" max="6" width="36" customWidth="1"/>
    <col min="7" max="11" width="31.7109375" customWidth="1"/>
  </cols>
  <sheetData>
    <row r="1" spans="1:11" ht="36" customHeight="1" x14ac:dyDescent="0.35">
      <c r="A1" s="838" t="s">
        <v>39</v>
      </c>
      <c r="B1" s="838"/>
      <c r="C1" s="838"/>
      <c r="D1" s="838"/>
      <c r="E1" s="838"/>
      <c r="F1" s="838"/>
    </row>
    <row r="4" spans="1:11" ht="40.5" customHeight="1" x14ac:dyDescent="0.35">
      <c r="A4" s="839" t="s">
        <v>1</v>
      </c>
      <c r="B4" s="817" t="s">
        <v>2</v>
      </c>
      <c r="C4" s="817"/>
      <c r="D4" s="817" t="s">
        <v>40</v>
      </c>
      <c r="E4" s="841" t="s">
        <v>41</v>
      </c>
      <c r="F4" s="843" t="s">
        <v>42</v>
      </c>
      <c r="G4" s="1"/>
      <c r="H4" s="1"/>
      <c r="I4" s="1"/>
      <c r="J4" s="1"/>
      <c r="K4" s="1"/>
    </row>
    <row r="5" spans="1:11" ht="66.75" customHeight="1" x14ac:dyDescent="0.35">
      <c r="A5" s="840"/>
      <c r="B5" s="837"/>
      <c r="C5" s="837"/>
      <c r="D5" s="837"/>
      <c r="E5" s="842"/>
      <c r="F5" s="844"/>
      <c r="G5" s="1"/>
      <c r="H5" s="1"/>
      <c r="I5" s="1"/>
      <c r="J5" s="1"/>
      <c r="K5" s="1"/>
    </row>
    <row r="6" spans="1:11" ht="42" customHeight="1" x14ac:dyDescent="0.35">
      <c r="A6" s="2" t="s">
        <v>3</v>
      </c>
      <c r="B6" s="845" t="s">
        <v>16</v>
      </c>
      <c r="C6" s="845"/>
      <c r="D6" s="3">
        <f>+'13.a.sz.m.Maradvány - int'!M5</f>
        <v>413986351</v>
      </c>
      <c r="E6" s="3">
        <v>8584239801</v>
      </c>
      <c r="F6" s="4">
        <f>+D6+E6</f>
        <v>8998226152</v>
      </c>
      <c r="G6" s="1"/>
      <c r="H6" s="1"/>
      <c r="I6" s="1"/>
      <c r="J6" s="1"/>
      <c r="K6" s="1"/>
    </row>
    <row r="7" spans="1:11" ht="42" customHeight="1" x14ac:dyDescent="0.35">
      <c r="A7" s="2" t="s">
        <v>4</v>
      </c>
      <c r="B7" s="845" t="s">
        <v>17</v>
      </c>
      <c r="C7" s="845"/>
      <c r="D7" s="3">
        <f>+'13.a.sz.m.Maradvány - int'!M6</f>
        <v>3631301795</v>
      </c>
      <c r="E7" s="3">
        <v>5041752254</v>
      </c>
      <c r="F7" s="4">
        <f t="shared" ref="F7:F38" si="0">+D7+E7</f>
        <v>8673054049</v>
      </c>
      <c r="G7" s="1"/>
      <c r="H7" s="1"/>
      <c r="I7" s="1"/>
      <c r="J7" s="1"/>
      <c r="K7" s="1"/>
    </row>
    <row r="8" spans="1:11" ht="81.75" customHeight="1" x14ac:dyDescent="0.35">
      <c r="A8" s="5" t="s">
        <v>5</v>
      </c>
      <c r="B8" s="846" t="s">
        <v>18</v>
      </c>
      <c r="C8" s="846"/>
      <c r="D8" s="3">
        <f>+'13.a.sz.m.Maradvány - int'!M7</f>
        <v>-3217315444</v>
      </c>
      <c r="E8" s="3">
        <f>+E6-E7</f>
        <v>3542487547</v>
      </c>
      <c r="F8" s="4">
        <f t="shared" si="0"/>
        <v>325172103</v>
      </c>
      <c r="G8" s="6"/>
      <c r="H8" s="6"/>
      <c r="I8" s="6"/>
      <c r="J8" s="6"/>
      <c r="K8" s="6"/>
    </row>
    <row r="9" spans="1:11" ht="41.25" customHeight="1" x14ac:dyDescent="0.35">
      <c r="A9" s="2" t="s">
        <v>6</v>
      </c>
      <c r="B9" s="845" t="s">
        <v>19</v>
      </c>
      <c r="C9" s="845"/>
      <c r="D9" s="3">
        <f>+'13.a.sz.m.Maradvány - int'!M8</f>
        <v>3408467050</v>
      </c>
      <c r="E9" s="3">
        <v>32171322314</v>
      </c>
      <c r="F9" s="4">
        <f t="shared" si="0"/>
        <v>35579789364</v>
      </c>
      <c r="G9" s="1"/>
      <c r="H9" s="1"/>
      <c r="I9" s="1"/>
      <c r="J9" s="1"/>
      <c r="K9" s="1"/>
    </row>
    <row r="10" spans="1:11" ht="41.25" customHeight="1" x14ac:dyDescent="0.35">
      <c r="A10" s="2" t="s">
        <v>7</v>
      </c>
      <c r="B10" s="845" t="s">
        <v>20</v>
      </c>
      <c r="C10" s="845"/>
      <c r="D10" s="3">
        <f>+'13.a.sz.m.Maradvány - int'!M9</f>
        <v>0</v>
      </c>
      <c r="E10" s="3">
        <v>31809524875</v>
      </c>
      <c r="F10" s="4">
        <f t="shared" si="0"/>
        <v>31809524875</v>
      </c>
      <c r="G10" s="1"/>
      <c r="H10" s="1"/>
      <c r="I10" s="1"/>
      <c r="J10" s="1"/>
      <c r="K10" s="1"/>
    </row>
    <row r="11" spans="1:11" ht="81" customHeight="1" x14ac:dyDescent="0.35">
      <c r="A11" s="7" t="s">
        <v>8</v>
      </c>
      <c r="B11" s="837" t="s">
        <v>21</v>
      </c>
      <c r="C11" s="837"/>
      <c r="D11" s="3">
        <f>+'13.a.sz.m.Maradvány - int'!M10</f>
        <v>3408467050</v>
      </c>
      <c r="E11" s="3">
        <f>+E9-E10</f>
        <v>361797439</v>
      </c>
      <c r="F11" s="4">
        <f t="shared" si="0"/>
        <v>3770264489</v>
      </c>
      <c r="G11" s="8"/>
      <c r="H11" s="8"/>
      <c r="I11" s="8"/>
      <c r="J11" s="8"/>
      <c r="K11" s="8"/>
    </row>
    <row r="12" spans="1:11" ht="81" customHeight="1" x14ac:dyDescent="0.35">
      <c r="A12" s="7" t="s">
        <v>9</v>
      </c>
      <c r="B12" s="837" t="s">
        <v>22</v>
      </c>
      <c r="C12" s="837"/>
      <c r="D12" s="3">
        <f>+'13.a.sz.m.Maradvány - int'!M11</f>
        <v>191151606</v>
      </c>
      <c r="E12" s="3">
        <f>+E8+E11</f>
        <v>3904284986</v>
      </c>
      <c r="F12" s="230">
        <f t="shared" si="0"/>
        <v>4095436592</v>
      </c>
      <c r="G12" s="8"/>
      <c r="H12" s="8"/>
      <c r="I12" s="8"/>
      <c r="J12" s="8"/>
      <c r="K12" s="8"/>
    </row>
    <row r="13" spans="1:11" ht="40.5" customHeight="1" x14ac:dyDescent="0.35">
      <c r="A13" s="7" t="s">
        <v>23</v>
      </c>
      <c r="B13" s="837" t="s">
        <v>24</v>
      </c>
      <c r="C13" s="837"/>
      <c r="D13" s="3">
        <f>+'13.a.sz.m.Maradvány - int'!M12</f>
        <v>0</v>
      </c>
      <c r="E13" s="3">
        <v>0</v>
      </c>
      <c r="F13" s="4">
        <f t="shared" si="0"/>
        <v>0</v>
      </c>
      <c r="G13" s="8"/>
      <c r="H13" s="8"/>
      <c r="I13" s="8"/>
      <c r="J13" s="8"/>
      <c r="K13" s="8"/>
    </row>
    <row r="14" spans="1:11" ht="81.75" customHeight="1" x14ac:dyDescent="0.35">
      <c r="A14" s="7" t="s">
        <v>25</v>
      </c>
      <c r="B14" s="837" t="s">
        <v>43</v>
      </c>
      <c r="C14" s="837"/>
      <c r="D14" s="3">
        <f>+'13.a.sz.m.Maradvány - int'!M13</f>
        <v>191151606</v>
      </c>
      <c r="E14" s="3">
        <f>SUM(E12:E13)</f>
        <v>3904284986</v>
      </c>
      <c r="F14" s="4">
        <f t="shared" si="0"/>
        <v>4095436592</v>
      </c>
      <c r="G14" s="8"/>
      <c r="H14" s="8"/>
      <c r="I14" s="8"/>
      <c r="J14" s="8"/>
      <c r="K14" s="8"/>
    </row>
    <row r="15" spans="1:11" ht="46.5" customHeight="1" x14ac:dyDescent="0.35">
      <c r="A15" s="425" t="s">
        <v>27</v>
      </c>
      <c r="B15" s="836" t="s">
        <v>763</v>
      </c>
      <c r="C15" s="826"/>
      <c r="D15" s="426">
        <f>+'13.a.sz.m.Maradvány - int'!M14</f>
        <v>44173801</v>
      </c>
      <c r="E15" s="426">
        <f>SUM(E16:E17)</f>
        <v>176563228</v>
      </c>
      <c r="F15" s="4">
        <f t="shared" si="0"/>
        <v>220737029</v>
      </c>
      <c r="G15" s="8"/>
      <c r="H15" s="8"/>
      <c r="I15" s="8"/>
      <c r="J15" s="8"/>
      <c r="K15" s="8"/>
    </row>
    <row r="16" spans="1:11" s="427" customFormat="1" ht="46.5" customHeight="1" x14ac:dyDescent="0.35">
      <c r="A16" s="428"/>
      <c r="B16" s="835" t="s">
        <v>28</v>
      </c>
      <c r="C16" s="832"/>
      <c r="D16" s="429">
        <f>+'13.a.sz.m.Maradvány - int'!M15</f>
        <v>44173801</v>
      </c>
      <c r="E16" s="429">
        <f>+'13.c.sz.m.Kötött maradvány'!E15</f>
        <v>8014810</v>
      </c>
      <c r="F16" s="4">
        <f t="shared" si="0"/>
        <v>52188611</v>
      </c>
      <c r="G16" s="430"/>
      <c r="H16" s="430"/>
      <c r="I16" s="430"/>
      <c r="J16" s="430"/>
      <c r="K16" s="430"/>
    </row>
    <row r="17" spans="1:11" s="427" customFormat="1" ht="46.5" customHeight="1" x14ac:dyDescent="0.35">
      <c r="A17" s="428"/>
      <c r="B17" s="835" t="s">
        <v>29</v>
      </c>
      <c r="C17" s="832"/>
      <c r="D17" s="429">
        <f>+'13.a.sz.m.Maradvány - int'!M16</f>
        <v>0</v>
      </c>
      <c r="E17" s="429">
        <f>+'13.c.sz.m.Kötött maradvány'!E20</f>
        <v>168548418</v>
      </c>
      <c r="F17" s="4">
        <f t="shared" si="0"/>
        <v>168548418</v>
      </c>
      <c r="G17" s="430"/>
      <c r="H17" s="430"/>
      <c r="I17" s="430"/>
      <c r="J17" s="430"/>
      <c r="K17" s="430"/>
    </row>
    <row r="18" spans="1:11" ht="46.5" customHeight="1" x14ac:dyDescent="0.35">
      <c r="A18" s="425" t="s">
        <v>30</v>
      </c>
      <c r="B18" s="836" t="s">
        <v>676</v>
      </c>
      <c r="C18" s="826"/>
      <c r="D18" s="426">
        <f>+'13.a.sz.m.Maradvány - int'!M17</f>
        <v>0</v>
      </c>
      <c r="E18" s="426">
        <f>SUM(E19:E20)</f>
        <v>72036518</v>
      </c>
      <c r="F18" s="4">
        <f t="shared" si="0"/>
        <v>72036518</v>
      </c>
      <c r="G18" s="8"/>
      <c r="H18" s="8"/>
      <c r="I18" s="8"/>
      <c r="J18" s="8"/>
      <c r="K18" s="8"/>
    </row>
    <row r="19" spans="1:11" s="427" customFormat="1" ht="46.5" customHeight="1" x14ac:dyDescent="0.35">
      <c r="A19" s="428"/>
      <c r="B19" s="835" t="s">
        <v>28</v>
      </c>
      <c r="C19" s="832"/>
      <c r="D19" s="429">
        <f>+'13.a.sz.m.Maradvány - int'!M18</f>
        <v>0</v>
      </c>
      <c r="E19" s="429">
        <f>+'13.c.sz.m.Kötött maradvány'!E24</f>
        <v>72036518</v>
      </c>
      <c r="F19" s="4">
        <f t="shared" si="0"/>
        <v>72036518</v>
      </c>
      <c r="G19" s="430"/>
      <c r="H19" s="430"/>
      <c r="I19" s="430"/>
      <c r="J19" s="430"/>
      <c r="K19" s="430"/>
    </row>
    <row r="20" spans="1:11" s="427" customFormat="1" ht="35.25" customHeight="1" x14ac:dyDescent="0.35">
      <c r="A20" s="428"/>
      <c r="B20" s="835" t="s">
        <v>29</v>
      </c>
      <c r="C20" s="832"/>
      <c r="D20" s="429">
        <f>+'13.a.sz.m.Maradvány - int'!M19</f>
        <v>0</v>
      </c>
      <c r="E20" s="429"/>
      <c r="F20" s="4">
        <f t="shared" si="0"/>
        <v>0</v>
      </c>
      <c r="G20" s="430"/>
      <c r="H20" s="430"/>
      <c r="I20" s="430"/>
      <c r="J20" s="430"/>
      <c r="K20" s="430"/>
    </row>
    <row r="21" spans="1:11" ht="35.25" customHeight="1" x14ac:dyDescent="0.35">
      <c r="A21" s="425" t="s">
        <v>32</v>
      </c>
      <c r="B21" s="836" t="s">
        <v>764</v>
      </c>
      <c r="C21" s="826"/>
      <c r="D21" s="426">
        <f>+'13.a.sz.m.Maradvány - int'!M20</f>
        <v>209139</v>
      </c>
      <c r="E21" s="426">
        <f>SUM(E22:E23)</f>
        <v>73076431</v>
      </c>
      <c r="F21" s="4">
        <f t="shared" si="0"/>
        <v>73285570</v>
      </c>
      <c r="G21" s="8"/>
      <c r="H21" s="8"/>
      <c r="I21" s="8"/>
      <c r="J21" s="8"/>
      <c r="K21" s="8"/>
    </row>
    <row r="22" spans="1:11" s="427" customFormat="1" ht="35.25" customHeight="1" x14ac:dyDescent="0.35">
      <c r="A22" s="428"/>
      <c r="B22" s="835" t="s">
        <v>28</v>
      </c>
      <c r="C22" s="832"/>
      <c r="D22" s="429">
        <f>+'13.a.sz.m.Maradvány - int'!M21</f>
        <v>0</v>
      </c>
      <c r="E22" s="429"/>
      <c r="F22" s="4">
        <f t="shared" si="0"/>
        <v>0</v>
      </c>
      <c r="G22" s="430"/>
      <c r="H22" s="430"/>
      <c r="I22" s="430"/>
      <c r="J22" s="430"/>
      <c r="K22" s="430"/>
    </row>
    <row r="23" spans="1:11" s="427" customFormat="1" ht="35.25" customHeight="1" x14ac:dyDescent="0.35">
      <c r="A23" s="428"/>
      <c r="B23" s="835" t="s">
        <v>29</v>
      </c>
      <c r="C23" s="832"/>
      <c r="D23" s="429">
        <f>+'13.a.sz.m.Maradvány - int'!M22</f>
        <v>209139</v>
      </c>
      <c r="E23" s="429">
        <f>+'13.c.sz.m.Kötött maradvány'!E32</f>
        <v>73076431</v>
      </c>
      <c r="F23" s="4">
        <f t="shared" si="0"/>
        <v>73285570</v>
      </c>
      <c r="G23" s="430"/>
      <c r="H23" s="430"/>
      <c r="I23" s="430"/>
      <c r="J23" s="430"/>
      <c r="K23" s="430"/>
    </row>
    <row r="24" spans="1:11" ht="35.25" customHeight="1" x14ac:dyDescent="0.35">
      <c r="A24" s="425" t="s">
        <v>33</v>
      </c>
      <c r="B24" s="836" t="s">
        <v>739</v>
      </c>
      <c r="C24" s="826"/>
      <c r="D24" s="426">
        <f>+'13.a.sz.m.Maradvány - int'!M23</f>
        <v>34779767</v>
      </c>
      <c r="E24" s="426">
        <f>SUM(E25:E26)</f>
        <v>730292166</v>
      </c>
      <c r="F24" s="4">
        <f t="shared" si="0"/>
        <v>765071933</v>
      </c>
      <c r="G24" s="8"/>
      <c r="H24" s="836"/>
      <c r="I24" s="826"/>
      <c r="J24" s="8"/>
      <c r="K24" s="8"/>
    </row>
    <row r="25" spans="1:11" s="427" customFormat="1" ht="35.25" customHeight="1" x14ac:dyDescent="0.35">
      <c r="A25" s="428"/>
      <c r="B25" s="835" t="s">
        <v>28</v>
      </c>
      <c r="C25" s="832"/>
      <c r="D25" s="429">
        <f>+'13.a.sz.m.Maradvány - int'!M24</f>
        <v>19126885</v>
      </c>
      <c r="E25" s="429">
        <f>+'13.c.sz.m.Kötött maradvány'!E84</f>
        <v>83831325</v>
      </c>
      <c r="F25" s="4">
        <f t="shared" si="0"/>
        <v>102958210</v>
      </c>
      <c r="G25" s="430"/>
      <c r="H25" s="835"/>
      <c r="I25" s="832"/>
      <c r="J25" s="430"/>
      <c r="K25" s="430"/>
    </row>
    <row r="26" spans="1:11" s="427" customFormat="1" ht="35.25" customHeight="1" x14ac:dyDescent="0.35">
      <c r="A26" s="428"/>
      <c r="B26" s="835" t="s">
        <v>29</v>
      </c>
      <c r="C26" s="832"/>
      <c r="D26" s="429">
        <f>+'13.a.sz.m.Maradvány - int'!M25</f>
        <v>15652882</v>
      </c>
      <c r="E26" s="429">
        <f>+'13.c.sz.m.Kötött maradvány'!E103</f>
        <v>646460841</v>
      </c>
      <c r="F26" s="4">
        <f t="shared" si="0"/>
        <v>662113723</v>
      </c>
      <c r="G26" s="430"/>
      <c r="H26" s="835"/>
      <c r="I26" s="832"/>
      <c r="J26" s="430"/>
      <c r="K26" s="430"/>
    </row>
    <row r="27" spans="1:11" ht="42" customHeight="1" x14ac:dyDescent="0.35">
      <c r="A27" s="425" t="s">
        <v>34</v>
      </c>
      <c r="B27" s="836" t="s">
        <v>762</v>
      </c>
      <c r="C27" s="826"/>
      <c r="D27" s="426">
        <f>+'13.a.sz.m.Maradvány - int'!M26</f>
        <v>0</v>
      </c>
      <c r="E27" s="426">
        <f>SUM(E28:E29)</f>
        <v>0</v>
      </c>
      <c r="F27" s="4">
        <f t="shared" si="0"/>
        <v>0</v>
      </c>
      <c r="G27" s="8"/>
      <c r="H27" s="836"/>
      <c r="I27" s="826"/>
      <c r="J27" s="8"/>
      <c r="K27" s="8"/>
    </row>
    <row r="28" spans="1:11" s="427" customFormat="1" ht="42" customHeight="1" x14ac:dyDescent="0.35">
      <c r="A28" s="428"/>
      <c r="B28" s="835" t="s">
        <v>28</v>
      </c>
      <c r="C28" s="832"/>
      <c r="D28" s="429">
        <f>+'13.a.sz.m.Maradvány - int'!M27</f>
        <v>0</v>
      </c>
      <c r="E28" s="429">
        <f>+'13.c.sz.m.Kötött maradvány'!E107</f>
        <v>0</v>
      </c>
      <c r="F28" s="4">
        <f t="shared" si="0"/>
        <v>0</v>
      </c>
      <c r="G28" s="430"/>
      <c r="H28" s="835"/>
      <c r="I28" s="832"/>
      <c r="J28" s="430"/>
      <c r="K28" s="430"/>
    </row>
    <row r="29" spans="1:11" s="427" customFormat="1" ht="42" customHeight="1" x14ac:dyDescent="0.35">
      <c r="A29" s="428"/>
      <c r="B29" s="835" t="s">
        <v>29</v>
      </c>
      <c r="C29" s="832"/>
      <c r="D29" s="429">
        <f>+'13.a.sz.m.Maradvány - int'!M28</f>
        <v>0</v>
      </c>
      <c r="E29" s="429">
        <f>+'13.c.sz.m.Kötött maradvány'!E110</f>
        <v>0</v>
      </c>
      <c r="F29" s="4">
        <f t="shared" si="0"/>
        <v>0</v>
      </c>
      <c r="G29" s="430"/>
      <c r="H29" s="835"/>
      <c r="I29" s="832"/>
      <c r="J29" s="430"/>
      <c r="K29" s="430"/>
    </row>
    <row r="30" spans="1:11" ht="51.75" customHeight="1" x14ac:dyDescent="0.35">
      <c r="A30" s="7" t="s">
        <v>35</v>
      </c>
      <c r="B30" s="847" t="s">
        <v>1098</v>
      </c>
      <c r="C30" s="811"/>
      <c r="D30" s="3">
        <f>+'13.a.sz.m.Maradvány - int'!M29</f>
        <v>79162707</v>
      </c>
      <c r="E30" s="3">
        <f>SUM(E31:E32)</f>
        <v>1051968343</v>
      </c>
      <c r="F30" s="4">
        <f t="shared" si="0"/>
        <v>1131131050</v>
      </c>
      <c r="G30" s="31"/>
      <c r="H30" s="835"/>
      <c r="I30" s="832"/>
      <c r="J30" s="9"/>
      <c r="K30" s="9"/>
    </row>
    <row r="31" spans="1:11" ht="32.25" customHeight="1" x14ac:dyDescent="0.35">
      <c r="A31" s="431"/>
      <c r="B31" s="848" t="s">
        <v>28</v>
      </c>
      <c r="C31" s="848"/>
      <c r="D31" s="432">
        <f>+'13.a.sz.m.Maradvány - int'!M30</f>
        <v>63300686</v>
      </c>
      <c r="E31" s="433">
        <f>+E16+E19+E22+E25+E28</f>
        <v>163882653</v>
      </c>
      <c r="F31" s="434">
        <f t="shared" si="0"/>
        <v>227183339</v>
      </c>
      <c r="G31" s="11"/>
      <c r="H31" s="12">
        <f>+D15+D18+D21+D24+D27</f>
        <v>79162707</v>
      </c>
      <c r="I31" s="11"/>
      <c r="J31" s="11"/>
      <c r="K31" s="11"/>
    </row>
    <row r="32" spans="1:11" ht="32.25" customHeight="1" x14ac:dyDescent="0.35">
      <c r="A32" s="431"/>
      <c r="B32" s="848" t="s">
        <v>29</v>
      </c>
      <c r="C32" s="848"/>
      <c r="D32" s="432">
        <f>+'13.a.sz.m.Maradvány - int'!M31</f>
        <v>15862021</v>
      </c>
      <c r="E32" s="433">
        <f>+E17+E20+E23+E26+E29</f>
        <v>888085690</v>
      </c>
      <c r="F32" s="434">
        <f t="shared" si="0"/>
        <v>903947711</v>
      </c>
      <c r="G32" s="11"/>
      <c r="H32" s="12"/>
      <c r="I32" s="11"/>
      <c r="J32" s="11"/>
      <c r="K32" s="11"/>
    </row>
    <row r="33" spans="1:11" ht="84" customHeight="1" x14ac:dyDescent="0.35">
      <c r="A33" s="7" t="s">
        <v>37</v>
      </c>
      <c r="B33" s="837" t="s">
        <v>44</v>
      </c>
      <c r="C33" s="837"/>
      <c r="D33" s="3">
        <f>+'13.a.sz.m.Maradvány - int'!M32</f>
        <v>111988899</v>
      </c>
      <c r="E33" s="3">
        <f>+E12-E30</f>
        <v>2852316643</v>
      </c>
      <c r="F33" s="336">
        <f t="shared" si="0"/>
        <v>2964305542</v>
      </c>
      <c r="G33" s="13" t="s">
        <v>45</v>
      </c>
      <c r="H33" s="13"/>
      <c r="I33" s="9" t="s">
        <v>46</v>
      </c>
      <c r="J33" s="14">
        <v>725133</v>
      </c>
      <c r="K33" s="13"/>
    </row>
    <row r="34" spans="1:11" ht="32.25" customHeight="1" x14ac:dyDescent="0.35">
      <c r="A34" s="80" t="s">
        <v>47</v>
      </c>
      <c r="B34" s="850" t="s">
        <v>36</v>
      </c>
      <c r="C34" s="850"/>
      <c r="D34" s="3">
        <f>-'13.a.sz.m.Maradvány - int'!M34</f>
        <v>-111988899</v>
      </c>
      <c r="E34" s="337">
        <v>0</v>
      </c>
      <c r="F34" s="338">
        <f t="shared" si="0"/>
        <v>-111988899</v>
      </c>
      <c r="G34" s="9"/>
      <c r="H34" s="9"/>
      <c r="I34" s="9"/>
      <c r="J34" s="9"/>
      <c r="K34" s="9"/>
    </row>
    <row r="35" spans="1:11" ht="32.25" customHeight="1" x14ac:dyDescent="0.35">
      <c r="A35" s="80" t="s">
        <v>49</v>
      </c>
      <c r="B35" s="850" t="s">
        <v>48</v>
      </c>
      <c r="C35" s="850"/>
      <c r="D35" s="3">
        <f>+'13.a.sz.m.Maradvány - int'!M36</f>
        <v>0</v>
      </c>
      <c r="E35" s="337">
        <f>-D34</f>
        <v>111988899</v>
      </c>
      <c r="F35" s="338">
        <f t="shared" si="0"/>
        <v>111988899</v>
      </c>
      <c r="G35" s="9"/>
      <c r="H35" s="9"/>
      <c r="I35" s="9"/>
      <c r="J35" s="9"/>
      <c r="K35" s="9"/>
    </row>
    <row r="36" spans="1:11" ht="63" customHeight="1" x14ac:dyDescent="0.35">
      <c r="A36" s="7" t="s">
        <v>66</v>
      </c>
      <c r="B36" s="851" t="s">
        <v>65</v>
      </c>
      <c r="C36" s="851"/>
      <c r="D36" s="3">
        <f>+D33+D34+D35</f>
        <v>0</v>
      </c>
      <c r="E36" s="3">
        <f>+E33+E34+E35</f>
        <v>2964305542</v>
      </c>
      <c r="F36" s="4">
        <f>+D36+E36</f>
        <v>2964305542</v>
      </c>
      <c r="G36" s="9"/>
      <c r="H36" s="9"/>
      <c r="I36" s="9"/>
      <c r="J36" s="9"/>
      <c r="K36" s="9"/>
    </row>
    <row r="37" spans="1:11" ht="34.5" customHeight="1" x14ac:dyDescent="0.35">
      <c r="A37" s="5"/>
      <c r="B37" s="848" t="s">
        <v>28</v>
      </c>
      <c r="C37" s="848"/>
      <c r="D37" s="3">
        <f>+'13.a.sz.m.Maradvány - int'!M38</f>
        <v>0</v>
      </c>
      <c r="E37" s="10">
        <f>+'13.d.sz.m.Szabad maradvány'!D83</f>
        <v>2550215542</v>
      </c>
      <c r="F37" s="4">
        <f t="shared" si="0"/>
        <v>2550215542</v>
      </c>
      <c r="G37" s="15"/>
      <c r="H37" s="15"/>
      <c r="I37" s="15"/>
      <c r="J37" s="15"/>
      <c r="K37" s="15"/>
    </row>
    <row r="38" spans="1:11" ht="34.5" customHeight="1" x14ac:dyDescent="0.35">
      <c r="A38" s="16"/>
      <c r="B38" s="849" t="s">
        <v>29</v>
      </c>
      <c r="C38" s="849"/>
      <c r="D38" s="167">
        <f>+'13.a.sz.m.Maradvány - int'!M39</f>
        <v>0</v>
      </c>
      <c r="E38" s="64">
        <f>+'13.d.sz.m.Szabad maradvány'!D84</f>
        <v>414090000</v>
      </c>
      <c r="F38" s="169">
        <f t="shared" si="0"/>
        <v>414090000</v>
      </c>
      <c r="G38" s="15"/>
      <c r="H38" s="15"/>
      <c r="I38" s="15"/>
      <c r="J38" s="15"/>
      <c r="K38" s="15"/>
    </row>
    <row r="39" spans="1:11" ht="34.5" customHeight="1" x14ac:dyDescent="0.35">
      <c r="A39" s="339"/>
      <c r="B39" s="340"/>
      <c r="C39" s="340"/>
      <c r="D39" s="19"/>
      <c r="E39" s="341"/>
      <c r="F39" s="19"/>
      <c r="G39" s="15"/>
      <c r="H39" s="15"/>
      <c r="I39" s="15"/>
      <c r="J39" s="15"/>
      <c r="K39" s="15"/>
    </row>
    <row r="40" spans="1:11" ht="23.25" x14ac:dyDescent="0.35">
      <c r="A40" s="17"/>
      <c r="B40" s="18"/>
      <c r="C40" s="18"/>
      <c r="D40" s="19"/>
      <c r="E40" s="9" t="s">
        <v>397</v>
      </c>
      <c r="F40" s="31">
        <f>+F31+F37</f>
        <v>2777398881</v>
      </c>
      <c r="I40" s="31"/>
      <c r="J40" s="9"/>
      <c r="K40" s="9"/>
    </row>
    <row r="41" spans="1:11" ht="23.25" x14ac:dyDescent="0.35">
      <c r="A41" s="17"/>
      <c r="B41" s="18"/>
      <c r="C41" s="18"/>
      <c r="D41" s="19"/>
      <c r="E41" s="9" t="s">
        <v>398</v>
      </c>
      <c r="F41" s="31">
        <f>+F32+F38</f>
        <v>1318037711</v>
      </c>
      <c r="I41" s="9"/>
      <c r="J41" s="9"/>
      <c r="K41" s="9"/>
    </row>
    <row r="42" spans="1:11" ht="23.25" x14ac:dyDescent="0.35">
      <c r="A42" s="17"/>
      <c r="B42" s="18"/>
      <c r="C42" s="18"/>
      <c r="D42" s="19"/>
      <c r="E42" s="9" t="s">
        <v>399</v>
      </c>
      <c r="F42" s="31">
        <f>SUM(F40:F41)</f>
        <v>4095436592</v>
      </c>
      <c r="G42" s="9"/>
      <c r="H42" s="31"/>
      <c r="I42" s="9"/>
      <c r="J42" s="9"/>
      <c r="K42" s="9"/>
    </row>
    <row r="43" spans="1:11" ht="23.25" x14ac:dyDescent="0.35">
      <c r="A43" s="17"/>
      <c r="B43" s="18"/>
      <c r="C43" s="18"/>
      <c r="D43" s="19"/>
      <c r="E43" s="65"/>
      <c r="F43" s="20"/>
      <c r="G43" s="9"/>
      <c r="H43" s="31"/>
      <c r="I43" s="9"/>
      <c r="J43" s="9"/>
      <c r="K43" s="9"/>
    </row>
    <row r="44" spans="1:11" ht="23.25" x14ac:dyDescent="0.35">
      <c r="A44" s="17"/>
      <c r="B44" s="18"/>
      <c r="C44" s="18"/>
      <c r="D44" s="19"/>
      <c r="E44" s="65"/>
      <c r="F44" s="20"/>
      <c r="G44" s="9"/>
      <c r="H44" s="31"/>
      <c r="I44" s="9"/>
      <c r="J44" s="9"/>
      <c r="K44" s="9"/>
    </row>
    <row r="45" spans="1:11" ht="23.25" x14ac:dyDescent="0.35">
      <c r="A45" s="9"/>
      <c r="B45" s="9"/>
      <c r="C45" s="9"/>
    </row>
    <row r="46" spans="1:11" ht="23.25" x14ac:dyDescent="0.35">
      <c r="A46" s="9"/>
      <c r="B46" s="9"/>
      <c r="C46" s="9"/>
    </row>
    <row r="47" spans="1:11" ht="23.25" x14ac:dyDescent="0.35">
      <c r="A47" s="9"/>
      <c r="B47" s="9"/>
      <c r="C47" s="9"/>
    </row>
    <row r="48" spans="1:11" ht="23.25" x14ac:dyDescent="0.35">
      <c r="A48" s="9"/>
      <c r="B48" s="9"/>
      <c r="C48" s="9"/>
    </row>
    <row r="49" spans="1:3" ht="23.25" x14ac:dyDescent="0.35">
      <c r="A49" s="9"/>
      <c r="B49" s="9"/>
      <c r="C49" s="9"/>
    </row>
  </sheetData>
  <mergeCells count="46">
    <mergeCell ref="B38:C38"/>
    <mergeCell ref="B34:C34"/>
    <mergeCell ref="B35:C35"/>
    <mergeCell ref="B36:C36"/>
    <mergeCell ref="B37:C37"/>
    <mergeCell ref="B32:C32"/>
    <mergeCell ref="B33:C33"/>
    <mergeCell ref="B15:C15"/>
    <mergeCell ref="B16:C16"/>
    <mergeCell ref="B17:C17"/>
    <mergeCell ref="B18:C18"/>
    <mergeCell ref="B12:C12"/>
    <mergeCell ref="B13:C13"/>
    <mergeCell ref="B14:C14"/>
    <mergeCell ref="B30:C30"/>
    <mergeCell ref="B31:C31"/>
    <mergeCell ref="B19:C19"/>
    <mergeCell ref="B20:C20"/>
    <mergeCell ref="B24:C24"/>
    <mergeCell ref="B25:C25"/>
    <mergeCell ref="B26:C26"/>
    <mergeCell ref="B11:C11"/>
    <mergeCell ref="A1:F1"/>
    <mergeCell ref="A4:A5"/>
    <mergeCell ref="B4:C5"/>
    <mergeCell ref="D4:D5"/>
    <mergeCell ref="E4:E5"/>
    <mergeCell ref="F4:F5"/>
    <mergeCell ref="B6:C6"/>
    <mergeCell ref="B7:C7"/>
    <mergeCell ref="B8:C8"/>
    <mergeCell ref="B9:C9"/>
    <mergeCell ref="B10:C10"/>
    <mergeCell ref="H29:I29"/>
    <mergeCell ref="H30:I30"/>
    <mergeCell ref="B21:C21"/>
    <mergeCell ref="B22:C22"/>
    <mergeCell ref="B23:C23"/>
    <mergeCell ref="B27:C27"/>
    <mergeCell ref="B28:C28"/>
    <mergeCell ref="B29:C29"/>
    <mergeCell ref="H24:I24"/>
    <mergeCell ref="H25:I25"/>
    <mergeCell ref="H26:I26"/>
    <mergeCell ref="H27:I27"/>
    <mergeCell ref="H28:I28"/>
  </mergeCells>
  <printOptions horizontalCentered="1" verticalCentered="1"/>
  <pageMargins left="0.27559055118110237" right="0.27559055118110237" top="0.74803149606299213" bottom="0.62992125984251968" header="0.31496062992125984" footer="0.31496062992125984"/>
  <pageSetup paperSize="9" scale="42" orientation="portrait" r:id="rId1"/>
  <headerFooter>
    <oddHeader>&amp;CDunaharaszti Város Önkormányzat 
2022. évi zárszámadás&amp;R&amp;A</oddHeader>
    <oddFooter xml:space="preserve">&amp;C&amp;P/&amp;N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4C4E-0F9F-47BE-9A8F-F8E14FFB1B69}">
  <dimension ref="A1:H17"/>
  <sheetViews>
    <sheetView view="pageBreakPreview" zoomScaleNormal="100" zoomScaleSheetLayoutView="100" workbookViewId="0">
      <selection activeCell="H27" sqref="H27"/>
    </sheetView>
  </sheetViews>
  <sheetFormatPr defaultRowHeight="15" x14ac:dyDescent="0.25"/>
  <cols>
    <col min="1" max="1" width="36.42578125" customWidth="1"/>
    <col min="5" max="6" width="6.28515625" bestFit="1" customWidth="1"/>
  </cols>
  <sheetData>
    <row r="1" spans="1:8" ht="17.25" x14ac:dyDescent="0.3">
      <c r="A1" s="1098" t="s">
        <v>633</v>
      </c>
      <c r="B1" s="1112"/>
      <c r="C1" s="1112"/>
      <c r="D1" s="1112"/>
      <c r="E1" s="1112"/>
      <c r="F1" s="1112"/>
    </row>
    <row r="2" spans="1:8" x14ac:dyDescent="0.25">
      <c r="A2" s="55"/>
      <c r="B2" s="55"/>
      <c r="C2" s="55"/>
      <c r="D2" s="57"/>
      <c r="E2" s="57"/>
      <c r="F2" s="57"/>
    </row>
    <row r="3" spans="1:8" ht="18.75" x14ac:dyDescent="0.25">
      <c r="A3" s="1099"/>
      <c r="B3" s="1099"/>
      <c r="C3" s="1099"/>
      <c r="D3" s="1099"/>
      <c r="E3" s="57"/>
      <c r="F3" s="57"/>
    </row>
    <row r="4" spans="1:8" x14ac:dyDescent="0.25">
      <c r="A4" s="57"/>
      <c r="B4" s="57"/>
      <c r="C4" s="57"/>
      <c r="D4" s="57"/>
      <c r="E4" s="57"/>
      <c r="F4" s="57"/>
    </row>
    <row r="5" spans="1:8" ht="28.5" customHeight="1" x14ac:dyDescent="0.25">
      <c r="A5" s="1100" t="s">
        <v>838</v>
      </c>
      <c r="B5" s="1100"/>
      <c r="C5" s="1100"/>
      <c r="D5" s="1100"/>
      <c r="E5" s="1100"/>
      <c r="F5" s="1100"/>
    </row>
    <row r="6" spans="1:8" ht="15.75" x14ac:dyDescent="0.25">
      <c r="A6" s="243" t="s">
        <v>839</v>
      </c>
      <c r="B6" s="243"/>
      <c r="C6" s="243"/>
      <c r="D6" s="57"/>
      <c r="E6" s="57"/>
      <c r="F6" s="57"/>
    </row>
    <row r="7" spans="1:8" ht="15.75" x14ac:dyDescent="0.25">
      <c r="A7" s="243"/>
      <c r="B7" s="243"/>
      <c r="C7" s="243"/>
      <c r="D7" s="57"/>
      <c r="E7" s="57"/>
      <c r="F7" s="57"/>
    </row>
    <row r="8" spans="1:8" ht="15.75" x14ac:dyDescent="0.25">
      <c r="A8" s="244" t="s">
        <v>634</v>
      </c>
      <c r="B8" s="244"/>
      <c r="C8" s="244"/>
      <c r="D8" s="57"/>
      <c r="E8" s="57"/>
      <c r="F8" s="57"/>
    </row>
    <row r="9" spans="1:8" ht="16.5" x14ac:dyDescent="0.25">
      <c r="A9" s="1101"/>
      <c r="B9" s="1101"/>
      <c r="C9" s="1101"/>
      <c r="D9" s="1101"/>
      <c r="E9" s="1101"/>
      <c r="F9" s="1101"/>
    </row>
    <row r="10" spans="1:8" ht="15" customHeight="1" x14ac:dyDescent="0.25">
      <c r="A10" s="1102" t="s">
        <v>556</v>
      </c>
      <c r="B10" s="1103" t="s">
        <v>479</v>
      </c>
      <c r="C10" s="1102" t="s">
        <v>277</v>
      </c>
      <c r="D10" s="1116" t="s">
        <v>559</v>
      </c>
      <c r="E10" s="1117"/>
      <c r="F10" s="1117"/>
      <c r="G10" s="1117"/>
      <c r="H10" s="1117"/>
    </row>
    <row r="11" spans="1:8" ht="15" customHeight="1" x14ac:dyDescent="0.25">
      <c r="A11" s="1102"/>
      <c r="B11" s="1104"/>
      <c r="C11" s="1102"/>
      <c r="D11" s="1109"/>
      <c r="E11" s="1110"/>
      <c r="F11" s="1110"/>
      <c r="G11" s="1110"/>
      <c r="H11" s="1110"/>
    </row>
    <row r="12" spans="1:8" ht="15.75" x14ac:dyDescent="0.25">
      <c r="A12" s="1102"/>
      <c r="B12" s="1105"/>
      <c r="C12" s="609">
        <v>2019</v>
      </c>
      <c r="D12" s="609">
        <v>2020</v>
      </c>
      <c r="E12" s="609">
        <v>2021</v>
      </c>
      <c r="F12" s="609">
        <v>2022</v>
      </c>
      <c r="G12" s="609">
        <v>2023</v>
      </c>
      <c r="H12" s="609">
        <v>2024</v>
      </c>
    </row>
    <row r="13" spans="1:8" ht="31.5" x14ac:dyDescent="0.25">
      <c r="A13" s="610" t="s">
        <v>840</v>
      </c>
      <c r="B13" s="611" t="s">
        <v>637</v>
      </c>
      <c r="C13" s="612">
        <v>822</v>
      </c>
      <c r="D13" s="612">
        <v>822</v>
      </c>
      <c r="E13" s="612">
        <v>822</v>
      </c>
      <c r="F13" s="612">
        <v>822</v>
      </c>
      <c r="G13" s="612">
        <v>822</v>
      </c>
      <c r="H13" s="612">
        <v>822</v>
      </c>
    </row>
    <row r="14" spans="1:8" ht="31.5" x14ac:dyDescent="0.25">
      <c r="A14" s="610" t="s">
        <v>841</v>
      </c>
      <c r="B14" s="611" t="s">
        <v>481</v>
      </c>
      <c r="C14" s="612">
        <v>3</v>
      </c>
      <c r="D14" s="612">
        <v>3</v>
      </c>
      <c r="E14" s="612">
        <v>3</v>
      </c>
      <c r="F14" s="612">
        <v>3</v>
      </c>
      <c r="G14" s="612">
        <v>3</v>
      </c>
      <c r="H14" s="612">
        <v>3</v>
      </c>
    </row>
    <row r="15" spans="1:8" ht="15.75" x14ac:dyDescent="0.25">
      <c r="A15" s="610" t="s">
        <v>636</v>
      </c>
      <c r="B15" s="611" t="s">
        <v>481</v>
      </c>
      <c r="C15" s="612">
        <v>5</v>
      </c>
      <c r="D15" s="612">
        <v>5</v>
      </c>
      <c r="E15" s="612">
        <v>5</v>
      </c>
      <c r="F15" s="612">
        <v>5</v>
      </c>
      <c r="G15" s="612">
        <v>5</v>
      </c>
      <c r="H15" s="612">
        <v>5</v>
      </c>
    </row>
    <row r="16" spans="1:8" ht="31.5" x14ac:dyDescent="0.25">
      <c r="A16" s="610" t="s">
        <v>638</v>
      </c>
      <c r="B16" s="611" t="s">
        <v>635</v>
      </c>
      <c r="C16" s="612">
        <v>1644</v>
      </c>
      <c r="D16" s="612">
        <v>1644</v>
      </c>
      <c r="E16" s="612">
        <v>1644</v>
      </c>
      <c r="F16" s="612">
        <v>1644</v>
      </c>
      <c r="G16" s="612">
        <v>1644</v>
      </c>
      <c r="H16" s="612">
        <v>1644</v>
      </c>
    </row>
    <row r="17" spans="1:8" ht="15.75" x14ac:dyDescent="0.25">
      <c r="A17" s="610" t="s">
        <v>842</v>
      </c>
      <c r="B17" s="611" t="s">
        <v>481</v>
      </c>
      <c r="C17" s="612">
        <v>10</v>
      </c>
      <c r="D17" s="612">
        <v>10</v>
      </c>
      <c r="E17" s="612">
        <v>10</v>
      </c>
      <c r="F17" s="612">
        <v>10</v>
      </c>
      <c r="G17" s="612">
        <v>10</v>
      </c>
      <c r="H17" s="612">
        <v>10</v>
      </c>
    </row>
  </sheetData>
  <mergeCells count="8">
    <mergeCell ref="A1:F1"/>
    <mergeCell ref="A3:D3"/>
    <mergeCell ref="A5:F5"/>
    <mergeCell ref="A9:F9"/>
    <mergeCell ref="A10:A12"/>
    <mergeCell ref="B10:B12"/>
    <mergeCell ref="C10:C11"/>
    <mergeCell ref="D10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EB320-01D8-4B30-873D-4AC9A3481A3C}">
  <dimension ref="A1:H16"/>
  <sheetViews>
    <sheetView view="pageBreakPreview" zoomScale="91" zoomScaleNormal="100" zoomScaleSheetLayoutView="91" workbookViewId="0">
      <selection activeCell="L13" sqref="L13"/>
    </sheetView>
  </sheetViews>
  <sheetFormatPr defaultRowHeight="15" x14ac:dyDescent="0.25"/>
  <cols>
    <col min="1" max="1" width="24.42578125" customWidth="1"/>
    <col min="2" max="2" width="15.42578125" bestFit="1" customWidth="1"/>
    <col min="3" max="3" width="14.85546875" customWidth="1"/>
    <col min="4" max="7" width="11.28515625" bestFit="1" customWidth="1"/>
    <col min="8" max="8" width="11.42578125" customWidth="1"/>
  </cols>
  <sheetData>
    <row r="1" spans="1:8" ht="17.25" customHeight="1" x14ac:dyDescent="0.3">
      <c r="A1" s="1098" t="s">
        <v>633</v>
      </c>
      <c r="B1" s="1098"/>
      <c r="C1" s="1098"/>
      <c r="D1" s="1098"/>
      <c r="E1" s="1098"/>
      <c r="F1" s="1098"/>
      <c r="G1" s="1098"/>
    </row>
    <row r="2" spans="1:8" x14ac:dyDescent="0.25">
      <c r="A2" s="55"/>
      <c r="B2" s="55"/>
      <c r="C2" s="57"/>
      <c r="D2" s="57"/>
      <c r="E2" s="57"/>
      <c r="F2" s="57"/>
      <c r="G2" s="57"/>
    </row>
    <row r="3" spans="1:8" ht="18.75" x14ac:dyDescent="0.25">
      <c r="A3" s="1099"/>
      <c r="B3" s="1099"/>
      <c r="C3" s="1099"/>
      <c r="D3" s="1099"/>
      <c r="E3" s="57"/>
      <c r="F3" s="57"/>
      <c r="G3" s="57"/>
    </row>
    <row r="4" spans="1:8" x14ac:dyDescent="0.25">
      <c r="A4" s="57"/>
      <c r="B4" s="57"/>
      <c r="C4" s="57"/>
      <c r="D4" s="57"/>
      <c r="E4" s="57"/>
      <c r="F4" s="57"/>
      <c r="G4" s="57"/>
    </row>
    <row r="5" spans="1:8" ht="31.5" customHeight="1" x14ac:dyDescent="0.25">
      <c r="A5" s="1100" t="s">
        <v>829</v>
      </c>
      <c r="B5" s="1100"/>
      <c r="C5" s="1100"/>
      <c r="D5" s="1100"/>
      <c r="E5" s="1100"/>
      <c r="F5" s="1100"/>
      <c r="G5" s="1100"/>
      <c r="H5" s="1100"/>
    </row>
    <row r="6" spans="1:8" ht="15.75" x14ac:dyDescent="0.25">
      <c r="A6" s="243" t="s">
        <v>830</v>
      </c>
      <c r="B6" s="243"/>
      <c r="C6" s="57"/>
      <c r="D6" s="57"/>
      <c r="E6" s="57"/>
      <c r="F6" s="57"/>
      <c r="G6" s="57"/>
    </row>
    <row r="7" spans="1:8" ht="15.75" x14ac:dyDescent="0.25">
      <c r="A7" s="243"/>
      <c r="B7" s="243"/>
      <c r="C7" s="57"/>
      <c r="D7" s="57"/>
      <c r="E7" s="57"/>
      <c r="F7" s="57"/>
      <c r="G7" s="57"/>
    </row>
    <row r="8" spans="1:8" ht="15.75" x14ac:dyDescent="0.25">
      <c r="A8" s="244" t="s">
        <v>252</v>
      </c>
      <c r="B8" s="244"/>
      <c r="C8" s="57"/>
      <c r="D8" s="57"/>
      <c r="E8" s="57"/>
      <c r="F8" s="57"/>
      <c r="G8" s="57"/>
    </row>
    <row r="9" spans="1:8" ht="16.5" x14ac:dyDescent="0.25">
      <c r="A9" s="1101" t="s">
        <v>276</v>
      </c>
      <c r="B9" s="1101"/>
      <c r="C9" s="1101"/>
      <c r="D9" s="1101"/>
      <c r="E9" s="1101"/>
      <c r="F9" s="1101"/>
      <c r="G9" s="1101"/>
      <c r="H9" s="1101"/>
    </row>
    <row r="10" spans="1:8" ht="15.75" customHeight="1" x14ac:dyDescent="0.25">
      <c r="A10" s="1102" t="s">
        <v>556</v>
      </c>
      <c r="B10" s="1103" t="s">
        <v>831</v>
      </c>
      <c r="C10" s="1102" t="s">
        <v>277</v>
      </c>
      <c r="D10" s="1102" t="s">
        <v>559</v>
      </c>
      <c r="E10" s="1102"/>
      <c r="F10" s="1102"/>
      <c r="G10" s="1102"/>
      <c r="H10" s="1102"/>
    </row>
    <row r="11" spans="1:8" ht="15.75" customHeight="1" x14ac:dyDescent="0.25">
      <c r="A11" s="1102"/>
      <c r="B11" s="1104"/>
      <c r="C11" s="1102"/>
      <c r="D11" s="1102"/>
      <c r="E11" s="1102"/>
      <c r="F11" s="1102"/>
      <c r="G11" s="1102"/>
      <c r="H11" s="1102"/>
    </row>
    <row r="12" spans="1:8" ht="15.75" x14ac:dyDescent="0.25">
      <c r="A12" s="1102"/>
      <c r="B12" s="1105"/>
      <c r="C12" s="616" t="s">
        <v>794</v>
      </c>
      <c r="D12" s="616">
        <v>2020</v>
      </c>
      <c r="E12" s="616">
        <v>2021</v>
      </c>
      <c r="F12" s="616">
        <v>2022</v>
      </c>
      <c r="G12" s="616" t="s">
        <v>832</v>
      </c>
      <c r="H12" s="616" t="s">
        <v>833</v>
      </c>
    </row>
    <row r="13" spans="1:8" ht="78.75" x14ac:dyDescent="0.25">
      <c r="A13" s="610" t="s">
        <v>834</v>
      </c>
      <c r="B13" s="611" t="s">
        <v>481</v>
      </c>
      <c r="C13" s="612">
        <v>104</v>
      </c>
      <c r="D13" s="612">
        <v>104</v>
      </c>
      <c r="E13" s="612">
        <v>104</v>
      </c>
      <c r="F13" s="612">
        <v>104</v>
      </c>
      <c r="G13" s="612">
        <v>104</v>
      </c>
      <c r="H13" s="612">
        <v>104</v>
      </c>
    </row>
    <row r="14" spans="1:8" ht="78.75" x14ac:dyDescent="0.25">
      <c r="A14" s="610" t="s">
        <v>835</v>
      </c>
      <c r="B14" s="611" t="s">
        <v>482</v>
      </c>
      <c r="C14" s="612">
        <v>141.77000000000001</v>
      </c>
      <c r="D14" s="612">
        <v>141.77000000000001</v>
      </c>
      <c r="E14" s="612">
        <v>141.77000000000001</v>
      </c>
      <c r="F14" s="612">
        <v>141.77000000000001</v>
      </c>
      <c r="G14" s="612">
        <v>141.77000000000001</v>
      </c>
      <c r="H14" s="612">
        <v>141.77000000000001</v>
      </c>
    </row>
    <row r="15" spans="1:8" ht="47.25" x14ac:dyDescent="0.25">
      <c r="A15" s="610" t="s">
        <v>836</v>
      </c>
      <c r="B15" s="611" t="s">
        <v>481</v>
      </c>
      <c r="C15" s="612">
        <v>104</v>
      </c>
      <c r="D15" s="612">
        <v>104</v>
      </c>
      <c r="E15" s="612">
        <v>104</v>
      </c>
      <c r="F15" s="612">
        <v>104</v>
      </c>
      <c r="G15" s="612">
        <v>104</v>
      </c>
      <c r="H15" s="612">
        <v>104</v>
      </c>
    </row>
    <row r="16" spans="1:8" ht="47.25" x14ac:dyDescent="0.25">
      <c r="A16" s="610" t="s">
        <v>837</v>
      </c>
      <c r="B16" s="611" t="s">
        <v>482</v>
      </c>
      <c r="C16" s="612">
        <v>141.77000000000001</v>
      </c>
      <c r="D16" s="612">
        <v>141.77000000000001</v>
      </c>
      <c r="E16" s="612">
        <v>141.77000000000001</v>
      </c>
      <c r="F16" s="612">
        <v>141.77000000000001</v>
      </c>
      <c r="G16" s="612">
        <v>141.77000000000001</v>
      </c>
      <c r="H16" s="612">
        <v>141.77000000000001</v>
      </c>
    </row>
  </sheetData>
  <mergeCells count="8">
    <mergeCell ref="A1:G1"/>
    <mergeCell ref="A3:D3"/>
    <mergeCell ref="A5:H5"/>
    <mergeCell ref="A9:H9"/>
    <mergeCell ref="A10:A12"/>
    <mergeCell ref="B10:B12"/>
    <mergeCell ref="C10:C11"/>
    <mergeCell ref="D10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&amp;CDunaharaszti Város Önkormányzata
2022. évi zárszámadás&amp;R&amp;A</oddHead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5C29-F9BA-43AF-81E2-609209C20CC1}">
  <dimension ref="A1:I17"/>
  <sheetViews>
    <sheetView view="pageBreakPreview" zoomScale="60" zoomScaleNormal="100" workbookViewId="0">
      <selection activeCell="T17" sqref="T17"/>
    </sheetView>
  </sheetViews>
  <sheetFormatPr defaultRowHeight="15" x14ac:dyDescent="0.25"/>
  <cols>
    <col min="1" max="1" width="16.28515625" customWidth="1"/>
    <col min="3" max="4" width="12.28515625" bestFit="1" customWidth="1"/>
    <col min="5" max="5" width="11.85546875" customWidth="1"/>
    <col min="6" max="6" width="12.42578125" customWidth="1"/>
    <col min="7" max="7" width="12.28515625" bestFit="1" customWidth="1"/>
    <col min="8" max="8" width="18.28515625" customWidth="1"/>
  </cols>
  <sheetData>
    <row r="1" spans="1:9" ht="17.25" customHeight="1" x14ac:dyDescent="0.3">
      <c r="A1" s="1112" t="s">
        <v>250</v>
      </c>
      <c r="B1" s="1112"/>
      <c r="C1" s="1112"/>
      <c r="D1" s="1112"/>
      <c r="E1" s="1112"/>
      <c r="F1" s="1112"/>
      <c r="G1" s="1112"/>
      <c r="H1" s="1112"/>
      <c r="I1" s="1112"/>
    </row>
    <row r="2" spans="1:9" x14ac:dyDescent="0.25">
      <c r="A2" s="55"/>
      <c r="B2" s="55"/>
      <c r="C2" s="57"/>
      <c r="D2" s="57"/>
      <c r="E2" s="57"/>
      <c r="F2" s="57"/>
      <c r="G2" s="57"/>
    </row>
    <row r="3" spans="1:9" ht="18.75" x14ac:dyDescent="0.25">
      <c r="A3" s="1099"/>
      <c r="B3" s="1099"/>
      <c r="C3" s="1099"/>
      <c r="D3" s="1099"/>
      <c r="E3" s="57"/>
      <c r="F3" s="57"/>
      <c r="G3" s="57"/>
    </row>
    <row r="4" spans="1:9" x14ac:dyDescent="0.25">
      <c r="A4" s="57"/>
      <c r="B4" s="57"/>
      <c r="C4" s="57"/>
      <c r="D4" s="57"/>
      <c r="E4" s="57"/>
      <c r="F4" s="57"/>
      <c r="G4" s="57"/>
    </row>
    <row r="5" spans="1:9" ht="15.75" x14ac:dyDescent="0.25">
      <c r="A5" s="1100" t="s">
        <v>917</v>
      </c>
      <c r="B5" s="1100"/>
      <c r="C5" s="1100"/>
      <c r="D5" s="1100"/>
      <c r="E5" s="1100"/>
      <c r="F5" s="1100"/>
      <c r="G5" s="1100"/>
      <c r="H5" s="1100"/>
    </row>
    <row r="6" spans="1:9" ht="15.75" x14ac:dyDescent="0.25">
      <c r="A6" s="243" t="s">
        <v>918</v>
      </c>
      <c r="B6" s="243"/>
      <c r="C6" s="57"/>
      <c r="D6" s="57"/>
      <c r="E6" s="57"/>
      <c r="F6" s="57"/>
      <c r="G6" s="57"/>
    </row>
    <row r="7" spans="1:9" ht="15.75" x14ac:dyDescent="0.25">
      <c r="A7" s="243"/>
      <c r="B7" s="243"/>
      <c r="C7" s="57"/>
      <c r="D7" s="57"/>
      <c r="E7" s="57"/>
      <c r="F7" s="57"/>
      <c r="G7" s="57"/>
    </row>
    <row r="8" spans="1:9" ht="15.75" x14ac:dyDescent="0.25">
      <c r="A8" s="244" t="s">
        <v>252</v>
      </c>
      <c r="B8" s="244"/>
      <c r="C8" s="57"/>
      <c r="D8" s="57"/>
      <c r="E8" s="57"/>
      <c r="F8" s="57"/>
      <c r="G8" s="57"/>
    </row>
    <row r="9" spans="1:9" ht="16.5" x14ac:dyDescent="0.25">
      <c r="A9" s="1101" t="s">
        <v>276</v>
      </c>
      <c r="B9" s="1101"/>
      <c r="C9" s="1101"/>
      <c r="D9" s="1101"/>
      <c r="E9" s="1101"/>
      <c r="F9" s="1101"/>
      <c r="G9" s="1101"/>
      <c r="H9" s="1101"/>
    </row>
    <row r="10" spans="1:9" x14ac:dyDescent="0.25">
      <c r="A10" s="1102" t="s">
        <v>556</v>
      </c>
      <c r="B10" s="1103" t="s">
        <v>831</v>
      </c>
      <c r="C10" s="1102" t="s">
        <v>277</v>
      </c>
      <c r="D10" s="1102" t="s">
        <v>559</v>
      </c>
      <c r="E10" s="1102"/>
      <c r="F10" s="1102"/>
      <c r="G10" s="1102"/>
      <c r="H10" s="1102"/>
    </row>
    <row r="11" spans="1:9" x14ac:dyDescent="0.25">
      <c r="A11" s="1102"/>
      <c r="B11" s="1104"/>
      <c r="C11" s="1102"/>
      <c r="D11" s="1102"/>
      <c r="E11" s="1102"/>
      <c r="F11" s="1102"/>
      <c r="G11" s="1102"/>
      <c r="H11" s="1102"/>
    </row>
    <row r="12" spans="1:9" ht="15.75" x14ac:dyDescent="0.25">
      <c r="A12" s="1102"/>
      <c r="B12" s="1105"/>
      <c r="C12" s="616" t="s">
        <v>919</v>
      </c>
      <c r="D12" s="616" t="s">
        <v>895</v>
      </c>
      <c r="E12" s="616" t="s">
        <v>920</v>
      </c>
      <c r="F12" s="616" t="s">
        <v>832</v>
      </c>
      <c r="G12" s="616" t="s">
        <v>833</v>
      </c>
      <c r="H12" s="616" t="s">
        <v>921</v>
      </c>
    </row>
    <row r="13" spans="1:9" ht="94.5" x14ac:dyDescent="0.25">
      <c r="A13" s="610" t="s">
        <v>922</v>
      </c>
      <c r="B13" s="611" t="s">
        <v>923</v>
      </c>
      <c r="C13" s="617">
        <v>540331</v>
      </c>
      <c r="D13" s="617">
        <v>540331</v>
      </c>
      <c r="E13" s="617">
        <v>540331</v>
      </c>
      <c r="F13" s="617">
        <v>540331</v>
      </c>
      <c r="G13" s="617">
        <v>540331</v>
      </c>
      <c r="H13" s="617">
        <v>540331</v>
      </c>
    </row>
    <row r="14" spans="1:9" ht="78.75" x14ac:dyDescent="0.25">
      <c r="A14" s="610" t="s">
        <v>924</v>
      </c>
      <c r="B14" s="611" t="s">
        <v>925</v>
      </c>
      <c r="C14" s="612">
        <v>208.44</v>
      </c>
      <c r="D14" s="612">
        <v>208.44</v>
      </c>
      <c r="E14" s="612">
        <v>208.44</v>
      </c>
      <c r="F14" s="612">
        <v>208.44</v>
      </c>
      <c r="G14" s="612">
        <v>208.44</v>
      </c>
      <c r="H14" s="612">
        <v>208.44</v>
      </c>
    </row>
    <row r="15" spans="1:9" ht="94.5" x14ac:dyDescent="0.25">
      <c r="A15" s="610" t="s">
        <v>926</v>
      </c>
      <c r="B15" s="611" t="s">
        <v>927</v>
      </c>
      <c r="C15" s="612">
        <v>101.44</v>
      </c>
      <c r="D15" s="612">
        <v>101.44</v>
      </c>
      <c r="E15" s="612">
        <v>101.44</v>
      </c>
      <c r="F15" s="612">
        <v>101.44</v>
      </c>
      <c r="G15" s="612">
        <v>101.44</v>
      </c>
      <c r="H15" s="612">
        <v>101.44</v>
      </c>
    </row>
    <row r="16" spans="1:9" ht="126" x14ac:dyDescent="0.25">
      <c r="A16" s="610" t="s">
        <v>928</v>
      </c>
      <c r="B16" s="611" t="s">
        <v>925</v>
      </c>
      <c r="C16" s="617">
        <v>1424.12</v>
      </c>
      <c r="D16" s="617">
        <v>1424.12</v>
      </c>
      <c r="E16" s="617">
        <v>1424.12</v>
      </c>
      <c r="F16" s="617">
        <v>1424.12</v>
      </c>
      <c r="G16" s="617">
        <v>1424.12</v>
      </c>
      <c r="H16" s="617">
        <v>1424.12</v>
      </c>
    </row>
    <row r="17" spans="1:8" ht="141.75" x14ac:dyDescent="0.25">
      <c r="A17" s="610" t="s">
        <v>929</v>
      </c>
      <c r="B17" s="611" t="s">
        <v>925</v>
      </c>
      <c r="C17" s="612">
        <v>5.3900000000000003E-2</v>
      </c>
      <c r="D17" s="612">
        <v>5.3900000000000003E-2</v>
      </c>
      <c r="E17" s="612">
        <v>5.3900000000000003E-2</v>
      </c>
      <c r="F17" s="612">
        <v>5.3900000000000003E-2</v>
      </c>
      <c r="G17" s="612">
        <v>5.3900000000000003E-2</v>
      </c>
      <c r="H17" s="612">
        <v>5.3900000000000003E-2</v>
      </c>
    </row>
  </sheetData>
  <mergeCells count="8">
    <mergeCell ref="A1:I1"/>
    <mergeCell ref="A3:D3"/>
    <mergeCell ref="A5:H5"/>
    <mergeCell ref="A9:H9"/>
    <mergeCell ref="A10:A12"/>
    <mergeCell ref="B10:B12"/>
    <mergeCell ref="C10:C11"/>
    <mergeCell ref="D10:H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&amp;CDunaharaszti Város Önkormányzata
2022. évi zárszámadás&amp;R&amp;A</oddHeader>
    <oddFooter>&amp;C&amp;P/&amp;N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N301"/>
  <sheetViews>
    <sheetView view="pageBreakPreview" topLeftCell="A244" zoomScale="70" zoomScaleNormal="50" zoomScaleSheetLayoutView="70" zoomScalePageLayoutView="78" workbookViewId="0">
      <selection activeCell="C290" sqref="C290"/>
    </sheetView>
  </sheetViews>
  <sheetFormatPr defaultColWidth="9.140625" defaultRowHeight="15" x14ac:dyDescent="0.25"/>
  <cols>
    <col min="2" max="2" width="136.42578125" customWidth="1"/>
    <col min="3" max="3" width="33" style="60" customWidth="1"/>
    <col min="4" max="4" width="40.140625" customWidth="1"/>
    <col min="5" max="5" width="26.140625" bestFit="1" customWidth="1"/>
    <col min="6" max="6" width="37.140625" customWidth="1"/>
    <col min="7" max="7" width="28.42578125" customWidth="1"/>
    <col min="8" max="8" width="41.5703125" bestFit="1" customWidth="1"/>
    <col min="259" max="259" width="96.28515625" customWidth="1"/>
    <col min="260" max="260" width="33" customWidth="1"/>
    <col min="261" max="261" width="22.5703125" customWidth="1"/>
    <col min="262" max="262" width="13.42578125" bestFit="1" customWidth="1"/>
    <col min="515" max="515" width="96.28515625" customWidth="1"/>
    <col min="516" max="516" width="33" customWidth="1"/>
    <col min="517" max="517" width="22.5703125" customWidth="1"/>
    <col min="518" max="518" width="13.42578125" bestFit="1" customWidth="1"/>
    <col min="771" max="771" width="96.28515625" customWidth="1"/>
    <col min="772" max="772" width="33" customWidth="1"/>
    <col min="773" max="773" width="22.5703125" customWidth="1"/>
    <col min="774" max="774" width="13.42578125" bestFit="1" customWidth="1"/>
    <col min="1027" max="1027" width="96.28515625" customWidth="1"/>
    <col min="1028" max="1028" width="33" customWidth="1"/>
    <col min="1029" max="1029" width="22.5703125" customWidth="1"/>
    <col min="1030" max="1030" width="13.42578125" bestFit="1" customWidth="1"/>
    <col min="1283" max="1283" width="96.28515625" customWidth="1"/>
    <col min="1284" max="1284" width="33" customWidth="1"/>
    <col min="1285" max="1285" width="22.5703125" customWidth="1"/>
    <col min="1286" max="1286" width="13.42578125" bestFit="1" customWidth="1"/>
    <col min="1539" max="1539" width="96.28515625" customWidth="1"/>
    <col min="1540" max="1540" width="33" customWidth="1"/>
    <col min="1541" max="1541" width="22.5703125" customWidth="1"/>
    <col min="1542" max="1542" width="13.42578125" bestFit="1" customWidth="1"/>
    <col min="1795" max="1795" width="96.28515625" customWidth="1"/>
    <col min="1796" max="1796" width="33" customWidth="1"/>
    <col min="1797" max="1797" width="22.5703125" customWidth="1"/>
    <col min="1798" max="1798" width="13.42578125" bestFit="1" customWidth="1"/>
    <col min="2051" max="2051" width="96.28515625" customWidth="1"/>
    <col min="2052" max="2052" width="33" customWidth="1"/>
    <col min="2053" max="2053" width="22.5703125" customWidth="1"/>
    <col min="2054" max="2054" width="13.42578125" bestFit="1" customWidth="1"/>
    <col min="2307" max="2307" width="96.28515625" customWidth="1"/>
    <col min="2308" max="2308" width="33" customWidth="1"/>
    <col min="2309" max="2309" width="22.5703125" customWidth="1"/>
    <col min="2310" max="2310" width="13.42578125" bestFit="1" customWidth="1"/>
    <col min="2563" max="2563" width="96.28515625" customWidth="1"/>
    <col min="2564" max="2564" width="33" customWidth="1"/>
    <col min="2565" max="2565" width="22.5703125" customWidth="1"/>
    <col min="2566" max="2566" width="13.42578125" bestFit="1" customWidth="1"/>
    <col min="2819" max="2819" width="96.28515625" customWidth="1"/>
    <col min="2820" max="2820" width="33" customWidth="1"/>
    <col min="2821" max="2821" width="22.5703125" customWidth="1"/>
    <col min="2822" max="2822" width="13.42578125" bestFit="1" customWidth="1"/>
    <col min="3075" max="3075" width="96.28515625" customWidth="1"/>
    <col min="3076" max="3076" width="33" customWidth="1"/>
    <col min="3077" max="3077" width="22.5703125" customWidth="1"/>
    <col min="3078" max="3078" width="13.42578125" bestFit="1" customWidth="1"/>
    <col min="3331" max="3331" width="96.28515625" customWidth="1"/>
    <col min="3332" max="3332" width="33" customWidth="1"/>
    <col min="3333" max="3333" width="22.5703125" customWidth="1"/>
    <col min="3334" max="3334" width="13.42578125" bestFit="1" customWidth="1"/>
    <col min="3587" max="3587" width="96.28515625" customWidth="1"/>
    <col min="3588" max="3588" width="33" customWidth="1"/>
    <col min="3589" max="3589" width="22.5703125" customWidth="1"/>
    <col min="3590" max="3590" width="13.42578125" bestFit="1" customWidth="1"/>
    <col min="3843" max="3843" width="96.28515625" customWidth="1"/>
    <col min="3844" max="3844" width="33" customWidth="1"/>
    <col min="3845" max="3845" width="22.5703125" customWidth="1"/>
    <col min="3846" max="3846" width="13.42578125" bestFit="1" customWidth="1"/>
    <col min="4099" max="4099" width="96.28515625" customWidth="1"/>
    <col min="4100" max="4100" width="33" customWidth="1"/>
    <col min="4101" max="4101" width="22.5703125" customWidth="1"/>
    <col min="4102" max="4102" width="13.42578125" bestFit="1" customWidth="1"/>
    <col min="4355" max="4355" width="96.28515625" customWidth="1"/>
    <col min="4356" max="4356" width="33" customWidth="1"/>
    <col min="4357" max="4357" width="22.5703125" customWidth="1"/>
    <col min="4358" max="4358" width="13.42578125" bestFit="1" customWidth="1"/>
    <col min="4611" max="4611" width="96.28515625" customWidth="1"/>
    <col min="4612" max="4612" width="33" customWidth="1"/>
    <col min="4613" max="4613" width="22.5703125" customWidth="1"/>
    <col min="4614" max="4614" width="13.42578125" bestFit="1" customWidth="1"/>
    <col min="4867" max="4867" width="96.28515625" customWidth="1"/>
    <col min="4868" max="4868" width="33" customWidth="1"/>
    <col min="4869" max="4869" width="22.5703125" customWidth="1"/>
    <col min="4870" max="4870" width="13.42578125" bestFit="1" customWidth="1"/>
    <col min="5123" max="5123" width="96.28515625" customWidth="1"/>
    <col min="5124" max="5124" width="33" customWidth="1"/>
    <col min="5125" max="5125" width="22.5703125" customWidth="1"/>
    <col min="5126" max="5126" width="13.42578125" bestFit="1" customWidth="1"/>
    <col min="5379" max="5379" width="96.28515625" customWidth="1"/>
    <col min="5380" max="5380" width="33" customWidth="1"/>
    <col min="5381" max="5381" width="22.5703125" customWidth="1"/>
    <col min="5382" max="5382" width="13.42578125" bestFit="1" customWidth="1"/>
    <col min="5635" max="5635" width="96.28515625" customWidth="1"/>
    <col min="5636" max="5636" width="33" customWidth="1"/>
    <col min="5637" max="5637" width="22.5703125" customWidth="1"/>
    <col min="5638" max="5638" width="13.42578125" bestFit="1" customWidth="1"/>
    <col min="5891" max="5891" width="96.28515625" customWidth="1"/>
    <col min="5892" max="5892" width="33" customWidth="1"/>
    <col min="5893" max="5893" width="22.5703125" customWidth="1"/>
    <col min="5894" max="5894" width="13.42578125" bestFit="1" customWidth="1"/>
    <col min="6147" max="6147" width="96.28515625" customWidth="1"/>
    <col min="6148" max="6148" width="33" customWidth="1"/>
    <col min="6149" max="6149" width="22.5703125" customWidth="1"/>
    <col min="6150" max="6150" width="13.42578125" bestFit="1" customWidth="1"/>
    <col min="6403" max="6403" width="96.28515625" customWidth="1"/>
    <col min="6404" max="6404" width="33" customWidth="1"/>
    <col min="6405" max="6405" width="22.5703125" customWidth="1"/>
    <col min="6406" max="6406" width="13.42578125" bestFit="1" customWidth="1"/>
    <col min="6659" max="6659" width="96.28515625" customWidth="1"/>
    <col min="6660" max="6660" width="33" customWidth="1"/>
    <col min="6661" max="6661" width="22.5703125" customWidth="1"/>
    <col min="6662" max="6662" width="13.42578125" bestFit="1" customWidth="1"/>
    <col min="6915" max="6915" width="96.28515625" customWidth="1"/>
    <col min="6916" max="6916" width="33" customWidth="1"/>
    <col min="6917" max="6917" width="22.5703125" customWidth="1"/>
    <col min="6918" max="6918" width="13.42578125" bestFit="1" customWidth="1"/>
    <col min="7171" max="7171" width="96.28515625" customWidth="1"/>
    <col min="7172" max="7172" width="33" customWidth="1"/>
    <col min="7173" max="7173" width="22.5703125" customWidth="1"/>
    <col min="7174" max="7174" width="13.42578125" bestFit="1" customWidth="1"/>
    <col min="7427" max="7427" width="96.28515625" customWidth="1"/>
    <col min="7428" max="7428" width="33" customWidth="1"/>
    <col min="7429" max="7429" width="22.5703125" customWidth="1"/>
    <col min="7430" max="7430" width="13.42578125" bestFit="1" customWidth="1"/>
    <col min="7683" max="7683" width="96.28515625" customWidth="1"/>
    <col min="7684" max="7684" width="33" customWidth="1"/>
    <col min="7685" max="7685" width="22.5703125" customWidth="1"/>
    <col min="7686" max="7686" width="13.42578125" bestFit="1" customWidth="1"/>
    <col min="7939" max="7939" width="96.28515625" customWidth="1"/>
    <col min="7940" max="7940" width="33" customWidth="1"/>
    <col min="7941" max="7941" width="22.5703125" customWidth="1"/>
    <col min="7942" max="7942" width="13.42578125" bestFit="1" customWidth="1"/>
    <col min="8195" max="8195" width="96.28515625" customWidth="1"/>
    <col min="8196" max="8196" width="33" customWidth="1"/>
    <col min="8197" max="8197" width="22.5703125" customWidth="1"/>
    <col min="8198" max="8198" width="13.42578125" bestFit="1" customWidth="1"/>
    <col min="8451" max="8451" width="96.28515625" customWidth="1"/>
    <col min="8452" max="8452" width="33" customWidth="1"/>
    <col min="8453" max="8453" width="22.5703125" customWidth="1"/>
    <col min="8454" max="8454" width="13.42578125" bestFit="1" customWidth="1"/>
    <col min="8707" max="8707" width="96.28515625" customWidth="1"/>
    <col min="8708" max="8708" width="33" customWidth="1"/>
    <col min="8709" max="8709" width="22.5703125" customWidth="1"/>
    <col min="8710" max="8710" width="13.42578125" bestFit="1" customWidth="1"/>
    <col min="8963" max="8963" width="96.28515625" customWidth="1"/>
    <col min="8964" max="8964" width="33" customWidth="1"/>
    <col min="8965" max="8965" width="22.5703125" customWidth="1"/>
    <col min="8966" max="8966" width="13.42578125" bestFit="1" customWidth="1"/>
    <col min="9219" max="9219" width="96.28515625" customWidth="1"/>
    <col min="9220" max="9220" width="33" customWidth="1"/>
    <col min="9221" max="9221" width="22.5703125" customWidth="1"/>
    <col min="9222" max="9222" width="13.42578125" bestFit="1" customWidth="1"/>
    <col min="9475" max="9475" width="96.28515625" customWidth="1"/>
    <col min="9476" max="9476" width="33" customWidth="1"/>
    <col min="9477" max="9477" width="22.5703125" customWidth="1"/>
    <col min="9478" max="9478" width="13.42578125" bestFit="1" customWidth="1"/>
    <col min="9731" max="9731" width="96.28515625" customWidth="1"/>
    <col min="9732" max="9732" width="33" customWidth="1"/>
    <col min="9733" max="9733" width="22.5703125" customWidth="1"/>
    <col min="9734" max="9734" width="13.42578125" bestFit="1" customWidth="1"/>
    <col min="9987" max="9987" width="96.28515625" customWidth="1"/>
    <col min="9988" max="9988" width="33" customWidth="1"/>
    <col min="9989" max="9989" width="22.5703125" customWidth="1"/>
    <col min="9990" max="9990" width="13.42578125" bestFit="1" customWidth="1"/>
    <col min="10243" max="10243" width="96.28515625" customWidth="1"/>
    <col min="10244" max="10244" width="33" customWidth="1"/>
    <col min="10245" max="10245" width="22.5703125" customWidth="1"/>
    <col min="10246" max="10246" width="13.42578125" bestFit="1" customWidth="1"/>
    <col min="10499" max="10499" width="96.28515625" customWidth="1"/>
    <col min="10500" max="10500" width="33" customWidth="1"/>
    <col min="10501" max="10501" width="22.5703125" customWidth="1"/>
    <col min="10502" max="10502" width="13.42578125" bestFit="1" customWidth="1"/>
    <col min="10755" max="10755" width="96.28515625" customWidth="1"/>
    <col min="10756" max="10756" width="33" customWidth="1"/>
    <col min="10757" max="10757" width="22.5703125" customWidth="1"/>
    <col min="10758" max="10758" width="13.42578125" bestFit="1" customWidth="1"/>
    <col min="11011" max="11011" width="96.28515625" customWidth="1"/>
    <col min="11012" max="11012" width="33" customWidth="1"/>
    <col min="11013" max="11013" width="22.5703125" customWidth="1"/>
    <col min="11014" max="11014" width="13.42578125" bestFit="1" customWidth="1"/>
    <col min="11267" max="11267" width="96.28515625" customWidth="1"/>
    <col min="11268" max="11268" width="33" customWidth="1"/>
    <col min="11269" max="11269" width="22.5703125" customWidth="1"/>
    <col min="11270" max="11270" width="13.42578125" bestFit="1" customWidth="1"/>
    <col min="11523" max="11523" width="96.28515625" customWidth="1"/>
    <col min="11524" max="11524" width="33" customWidth="1"/>
    <col min="11525" max="11525" width="22.5703125" customWidth="1"/>
    <col min="11526" max="11526" width="13.42578125" bestFit="1" customWidth="1"/>
    <col min="11779" max="11779" width="96.28515625" customWidth="1"/>
    <col min="11780" max="11780" width="33" customWidth="1"/>
    <col min="11781" max="11781" width="22.5703125" customWidth="1"/>
    <col min="11782" max="11782" width="13.42578125" bestFit="1" customWidth="1"/>
    <col min="12035" max="12035" width="96.28515625" customWidth="1"/>
    <col min="12036" max="12036" width="33" customWidth="1"/>
    <col min="12037" max="12037" width="22.5703125" customWidth="1"/>
    <col min="12038" max="12038" width="13.42578125" bestFit="1" customWidth="1"/>
    <col min="12291" max="12291" width="96.28515625" customWidth="1"/>
    <col min="12292" max="12292" width="33" customWidth="1"/>
    <col min="12293" max="12293" width="22.5703125" customWidth="1"/>
    <col min="12294" max="12294" width="13.42578125" bestFit="1" customWidth="1"/>
    <col min="12547" max="12547" width="96.28515625" customWidth="1"/>
    <col min="12548" max="12548" width="33" customWidth="1"/>
    <col min="12549" max="12549" width="22.5703125" customWidth="1"/>
    <col min="12550" max="12550" width="13.42578125" bestFit="1" customWidth="1"/>
    <col min="12803" max="12803" width="96.28515625" customWidth="1"/>
    <col min="12804" max="12804" width="33" customWidth="1"/>
    <col min="12805" max="12805" width="22.5703125" customWidth="1"/>
    <col min="12806" max="12806" width="13.42578125" bestFit="1" customWidth="1"/>
    <col min="13059" max="13059" width="96.28515625" customWidth="1"/>
    <col min="13060" max="13060" width="33" customWidth="1"/>
    <col min="13061" max="13061" width="22.5703125" customWidth="1"/>
    <col min="13062" max="13062" width="13.42578125" bestFit="1" customWidth="1"/>
    <col min="13315" max="13315" width="96.28515625" customWidth="1"/>
    <col min="13316" max="13316" width="33" customWidth="1"/>
    <col min="13317" max="13317" width="22.5703125" customWidth="1"/>
    <col min="13318" max="13318" width="13.42578125" bestFit="1" customWidth="1"/>
    <col min="13571" max="13571" width="96.28515625" customWidth="1"/>
    <col min="13572" max="13572" width="33" customWidth="1"/>
    <col min="13573" max="13573" width="22.5703125" customWidth="1"/>
    <col min="13574" max="13574" width="13.42578125" bestFit="1" customWidth="1"/>
    <col min="13827" max="13827" width="96.28515625" customWidth="1"/>
    <col min="13828" max="13828" width="33" customWidth="1"/>
    <col min="13829" max="13829" width="22.5703125" customWidth="1"/>
    <col min="13830" max="13830" width="13.42578125" bestFit="1" customWidth="1"/>
    <col min="14083" max="14083" width="96.28515625" customWidth="1"/>
    <col min="14084" max="14084" width="33" customWidth="1"/>
    <col min="14085" max="14085" width="22.5703125" customWidth="1"/>
    <col min="14086" max="14086" width="13.42578125" bestFit="1" customWidth="1"/>
    <col min="14339" max="14339" width="96.28515625" customWidth="1"/>
    <col min="14340" max="14340" width="33" customWidth="1"/>
    <col min="14341" max="14341" width="22.5703125" customWidth="1"/>
    <col min="14342" max="14342" width="13.42578125" bestFit="1" customWidth="1"/>
    <col min="14595" max="14595" width="96.28515625" customWidth="1"/>
    <col min="14596" max="14596" width="33" customWidth="1"/>
    <col min="14597" max="14597" width="22.5703125" customWidth="1"/>
    <col min="14598" max="14598" width="13.42578125" bestFit="1" customWidth="1"/>
    <col min="14851" max="14851" width="96.28515625" customWidth="1"/>
    <col min="14852" max="14852" width="33" customWidth="1"/>
    <col min="14853" max="14853" width="22.5703125" customWidth="1"/>
    <col min="14854" max="14854" width="13.42578125" bestFit="1" customWidth="1"/>
    <col min="15107" max="15107" width="96.28515625" customWidth="1"/>
    <col min="15108" max="15108" width="33" customWidth="1"/>
    <col min="15109" max="15109" width="22.5703125" customWidth="1"/>
    <col min="15110" max="15110" width="13.42578125" bestFit="1" customWidth="1"/>
    <col min="15363" max="15363" width="96.28515625" customWidth="1"/>
    <col min="15364" max="15364" width="33" customWidth="1"/>
    <col min="15365" max="15365" width="22.5703125" customWidth="1"/>
    <col min="15366" max="15366" width="13.42578125" bestFit="1" customWidth="1"/>
    <col min="15619" max="15619" width="96.28515625" customWidth="1"/>
    <col min="15620" max="15620" width="33" customWidth="1"/>
    <col min="15621" max="15621" width="22.5703125" customWidth="1"/>
    <col min="15622" max="15622" width="13.42578125" bestFit="1" customWidth="1"/>
    <col min="15875" max="15875" width="96.28515625" customWidth="1"/>
    <col min="15876" max="15876" width="33" customWidth="1"/>
    <col min="15877" max="15877" width="22.5703125" customWidth="1"/>
    <col min="15878" max="15878" width="13.42578125" bestFit="1" customWidth="1"/>
    <col min="16131" max="16131" width="96.28515625" customWidth="1"/>
    <col min="16132" max="16132" width="33" customWidth="1"/>
    <col min="16133" max="16133" width="22.5703125" customWidth="1"/>
    <col min="16134" max="16134" width="13.42578125" bestFit="1" customWidth="1"/>
  </cols>
  <sheetData>
    <row r="1" spans="1:14" s="22" customFormat="1" ht="26.25" x14ac:dyDescent="0.25">
      <c r="A1" s="893" t="s">
        <v>50</v>
      </c>
      <c r="B1" s="893"/>
      <c r="C1" s="893"/>
      <c r="D1" s="893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69" customFormat="1" ht="23.25" x14ac:dyDescent="0.35">
      <c r="A2" s="66"/>
      <c r="B2" s="67" t="s">
        <v>51</v>
      </c>
      <c r="C2" s="68"/>
      <c r="D2" s="139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x14ac:dyDescent="0.35">
      <c r="A3" s="127"/>
      <c r="B3" s="153" t="s">
        <v>52</v>
      </c>
      <c r="C3" s="154"/>
      <c r="D3" s="127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3.25" x14ac:dyDescent="0.35">
      <c r="A4" s="127"/>
      <c r="B4" s="61" t="s">
        <v>53</v>
      </c>
      <c r="C4" s="119" t="s">
        <v>54</v>
      </c>
      <c r="D4" s="124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23.25" customHeight="1" x14ac:dyDescent="0.35">
      <c r="A5" s="864" t="s">
        <v>55</v>
      </c>
      <c r="B5" s="656" t="s">
        <v>999</v>
      </c>
      <c r="C5" s="691">
        <f>31500+6360+1717</f>
        <v>39577</v>
      </c>
      <c r="D5" s="894" t="s">
        <v>949</v>
      </c>
      <c r="E5" s="23"/>
      <c r="F5" s="25"/>
      <c r="G5" s="23"/>
      <c r="H5" s="23"/>
      <c r="I5" s="23"/>
      <c r="J5" s="23"/>
      <c r="K5" s="23"/>
      <c r="L5" s="23"/>
      <c r="M5" s="23"/>
      <c r="N5" s="23"/>
    </row>
    <row r="6" spans="1:14" ht="23.25" x14ac:dyDescent="0.35">
      <c r="A6" s="863"/>
      <c r="B6" s="656" t="s">
        <v>998</v>
      </c>
      <c r="C6" s="691">
        <f>361190+18060</f>
        <v>379250</v>
      </c>
      <c r="D6" s="894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3.25" x14ac:dyDescent="0.35">
      <c r="A7" s="863"/>
      <c r="B7" s="656" t="s">
        <v>1004</v>
      </c>
      <c r="C7" s="691">
        <f>10800+2916+3400+27000+8208+642600+173502+277200+74844</f>
        <v>1220470</v>
      </c>
      <c r="D7" s="894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3.25" x14ac:dyDescent="0.35">
      <c r="A8" s="863"/>
      <c r="B8" s="656" t="s">
        <v>1003</v>
      </c>
      <c r="C8" s="691">
        <f>1114920+600631+301028+162170+4126+1114+40000+10800</f>
        <v>2234789</v>
      </c>
      <c r="D8" s="894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23.25" x14ac:dyDescent="0.35">
      <c r="A9" s="863"/>
      <c r="B9" s="656" t="s">
        <v>734</v>
      </c>
      <c r="C9" s="691">
        <f>508+137</f>
        <v>645</v>
      </c>
      <c r="D9" s="894"/>
      <c r="E9" s="23"/>
      <c r="F9" s="25"/>
      <c r="G9" s="23"/>
      <c r="H9" s="23"/>
      <c r="I9" s="23"/>
      <c r="J9" s="23"/>
      <c r="K9" s="23"/>
      <c r="L9" s="23"/>
      <c r="M9" s="23"/>
      <c r="N9" s="23"/>
    </row>
    <row r="10" spans="1:14" ht="23.25" x14ac:dyDescent="0.35">
      <c r="A10" s="863"/>
      <c r="B10" s="656" t="s">
        <v>1000</v>
      </c>
      <c r="C10" s="691">
        <f>950000+256500</f>
        <v>1206500</v>
      </c>
      <c r="D10" s="894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3.25" x14ac:dyDescent="0.35">
      <c r="A11" s="863"/>
      <c r="B11" s="656" t="s">
        <v>1002</v>
      </c>
      <c r="C11" s="691">
        <f>4083+1102+13270+3583+7200+1944+893917+241358</f>
        <v>1166457</v>
      </c>
      <c r="D11" s="894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3.25" x14ac:dyDescent="0.35">
      <c r="A12" s="863"/>
      <c r="B12" s="656" t="s">
        <v>1001</v>
      </c>
      <c r="C12" s="691">
        <f>1175333+317340</f>
        <v>1492673</v>
      </c>
      <c r="D12" s="894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3.25" x14ac:dyDescent="0.35">
      <c r="A13" s="863"/>
      <c r="B13" s="656" t="s">
        <v>1005</v>
      </c>
      <c r="C13" s="691">
        <f>83072+22429</f>
        <v>105501</v>
      </c>
      <c r="D13" s="894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3.25" x14ac:dyDescent="0.35">
      <c r="A14" s="863"/>
      <c r="B14" s="656" t="s">
        <v>1006</v>
      </c>
      <c r="C14" s="691">
        <f>14920+4028</f>
        <v>18948</v>
      </c>
      <c r="D14" s="894"/>
      <c r="E14" s="25" t="s">
        <v>765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4" thickBot="1" x14ac:dyDescent="0.4">
      <c r="A15" s="904"/>
      <c r="B15" s="693" t="s">
        <v>1007</v>
      </c>
      <c r="C15" s="694">
        <v>150000</v>
      </c>
      <c r="D15" s="895"/>
      <c r="E15" s="25">
        <f>SUM(C5:C15)</f>
        <v>8014810</v>
      </c>
      <c r="F15" s="23" t="s">
        <v>757</v>
      </c>
      <c r="G15" s="23"/>
      <c r="H15" s="23"/>
      <c r="I15" s="23"/>
      <c r="J15" s="23"/>
      <c r="K15" s="23"/>
      <c r="L15" s="23"/>
      <c r="M15" s="23"/>
      <c r="N15" s="23"/>
    </row>
    <row r="16" spans="1:14" ht="23.25" x14ac:dyDescent="0.35">
      <c r="A16" s="863" t="s">
        <v>56</v>
      </c>
      <c r="B16" s="500" t="s">
        <v>1008</v>
      </c>
      <c r="C16" s="692">
        <f>5885000+1588950</f>
        <v>7473950</v>
      </c>
      <c r="D16" s="895"/>
      <c r="E16" s="25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69.75" x14ac:dyDescent="0.35">
      <c r="A17" s="863"/>
      <c r="B17" s="656" t="s">
        <v>1009</v>
      </c>
      <c r="C17" s="657">
        <f>935000+252450</f>
        <v>1187450</v>
      </c>
      <c r="D17" s="895"/>
      <c r="E17" s="25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47.25" customHeight="1" x14ac:dyDescent="0.35">
      <c r="A18" s="863"/>
      <c r="B18" s="656" t="s">
        <v>1010</v>
      </c>
      <c r="C18" s="657">
        <f>6023622+1626378</f>
        <v>7650000</v>
      </c>
      <c r="D18" s="895"/>
      <c r="E18" s="25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3.25" x14ac:dyDescent="0.35">
      <c r="A19" s="863"/>
      <c r="B19" s="250" t="s">
        <v>1011</v>
      </c>
      <c r="C19" s="120">
        <f>34621550+9347819</f>
        <v>43969369</v>
      </c>
      <c r="D19" s="894"/>
      <c r="E19" s="25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3.25" x14ac:dyDescent="0.35">
      <c r="A20" s="863"/>
      <c r="B20" s="250" t="s">
        <v>864</v>
      </c>
      <c r="C20" s="120">
        <f>84513283+736834+23017532</f>
        <v>108267649</v>
      </c>
      <c r="D20" s="894"/>
      <c r="E20" s="25">
        <f>SUM(C16:C20)</f>
        <v>168548418</v>
      </c>
      <c r="F20" s="25" t="s">
        <v>758</v>
      </c>
      <c r="G20" s="23"/>
      <c r="H20" s="23"/>
      <c r="I20" s="23"/>
      <c r="J20" s="23"/>
      <c r="K20" s="23"/>
      <c r="L20" s="23"/>
      <c r="M20" s="23"/>
      <c r="N20" s="23"/>
    </row>
    <row r="21" spans="1:14" ht="23.25" x14ac:dyDescent="0.35">
      <c r="A21" s="901" t="s">
        <v>57</v>
      </c>
      <c r="B21" s="856"/>
      <c r="C21" s="119">
        <f>SUM(C5:C20)</f>
        <v>176563228</v>
      </c>
      <c r="D21" s="1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23.25" x14ac:dyDescent="0.35">
      <c r="A22" s="137"/>
      <c r="B22" s="135" t="s">
        <v>395</v>
      </c>
      <c r="C22" s="124"/>
      <c r="D22" s="138"/>
      <c r="G22" s="23"/>
      <c r="H22" s="23"/>
      <c r="I22" s="23"/>
      <c r="J22" s="23"/>
      <c r="K22" s="23"/>
      <c r="L22" s="23"/>
      <c r="M22" s="23"/>
      <c r="N22" s="23"/>
    </row>
    <row r="23" spans="1:14" ht="93" x14ac:dyDescent="0.35">
      <c r="A23" s="409" t="s">
        <v>64</v>
      </c>
      <c r="B23" s="250" t="s">
        <v>951</v>
      </c>
      <c r="C23" s="405">
        <v>72036518</v>
      </c>
      <c r="D23" s="408" t="s">
        <v>949</v>
      </c>
      <c r="E23" s="25" t="s">
        <v>766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3.25" x14ac:dyDescent="0.35">
      <c r="A24" s="901" t="s">
        <v>753</v>
      </c>
      <c r="B24" s="856"/>
      <c r="C24" s="406">
        <f>SUM(C23)</f>
        <v>72036518</v>
      </c>
      <c r="D24" s="407"/>
      <c r="E24" s="418">
        <f>+C23</f>
        <v>72036518</v>
      </c>
      <c r="F24" s="419" t="s">
        <v>757</v>
      </c>
      <c r="G24" s="23"/>
      <c r="H24" s="23"/>
      <c r="I24" s="23"/>
      <c r="J24" s="23"/>
      <c r="K24" s="23"/>
      <c r="L24" s="23"/>
      <c r="M24" s="23"/>
      <c r="N24" s="23"/>
    </row>
    <row r="25" spans="1:14" ht="23.25" x14ac:dyDescent="0.35">
      <c r="A25" s="127"/>
      <c r="B25" s="135" t="s">
        <v>58</v>
      </c>
      <c r="C25" s="126"/>
      <c r="D25" s="125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3.25" customHeight="1" x14ac:dyDescent="0.35">
      <c r="A26" s="864" t="s">
        <v>56</v>
      </c>
      <c r="B26" s="250" t="s">
        <v>747</v>
      </c>
      <c r="C26" s="120">
        <v>659324</v>
      </c>
      <c r="D26" s="896" t="s">
        <v>950</v>
      </c>
      <c r="E26" s="23"/>
      <c r="G26" s="161"/>
      <c r="H26" s="23"/>
      <c r="I26" s="23"/>
      <c r="J26" s="23"/>
      <c r="K26" s="23"/>
      <c r="L26" s="23"/>
      <c r="M26" s="23"/>
      <c r="N26" s="23"/>
    </row>
    <row r="27" spans="1:14" ht="23.25" x14ac:dyDescent="0.35">
      <c r="A27" s="863"/>
      <c r="B27" s="250" t="s">
        <v>748</v>
      </c>
      <c r="C27" s="120">
        <v>4074055</v>
      </c>
      <c r="D27" s="897"/>
      <c r="E27" s="23"/>
      <c r="G27" s="158"/>
      <c r="H27" s="23"/>
      <c r="I27" s="23"/>
      <c r="J27" s="23"/>
      <c r="K27" s="23"/>
      <c r="L27" s="23"/>
      <c r="M27" s="23"/>
      <c r="N27" s="23"/>
    </row>
    <row r="28" spans="1:14" ht="23.25" x14ac:dyDescent="0.35">
      <c r="A28" s="863"/>
      <c r="B28" s="250" t="s">
        <v>749</v>
      </c>
      <c r="C28" s="120">
        <v>2373132</v>
      </c>
      <c r="D28" s="897"/>
      <c r="E28" s="23"/>
      <c r="G28" s="158"/>
      <c r="H28" s="23"/>
      <c r="I28" s="23"/>
      <c r="J28" s="23"/>
      <c r="K28" s="23"/>
      <c r="L28" s="23"/>
      <c r="M28" s="23"/>
      <c r="N28" s="23"/>
    </row>
    <row r="29" spans="1:14" ht="23.25" x14ac:dyDescent="0.35">
      <c r="A29" s="863"/>
      <c r="B29" s="250" t="s">
        <v>750</v>
      </c>
      <c r="C29" s="120">
        <v>10494228</v>
      </c>
      <c r="D29" s="897"/>
      <c r="E29" s="23"/>
      <c r="G29" s="158"/>
      <c r="H29" s="23"/>
      <c r="I29" s="23"/>
      <c r="J29" s="23"/>
      <c r="K29" s="23"/>
      <c r="L29" s="23"/>
      <c r="M29" s="23"/>
      <c r="N29" s="23"/>
    </row>
    <row r="30" spans="1:14" ht="23.25" x14ac:dyDescent="0.35">
      <c r="A30" s="863"/>
      <c r="B30" s="250" t="s">
        <v>751</v>
      </c>
      <c r="C30" s="120">
        <v>18146313</v>
      </c>
      <c r="D30" s="897"/>
      <c r="E30" s="23"/>
      <c r="G30" s="158"/>
      <c r="H30" s="23"/>
      <c r="I30" s="23"/>
      <c r="J30" s="23"/>
      <c r="K30" s="23"/>
      <c r="L30" s="23"/>
      <c r="M30" s="23"/>
      <c r="N30" s="23"/>
    </row>
    <row r="31" spans="1:14" ht="23.25" x14ac:dyDescent="0.35">
      <c r="A31" s="863"/>
      <c r="B31" s="250" t="s">
        <v>752</v>
      </c>
      <c r="C31" s="120">
        <v>2044893</v>
      </c>
      <c r="D31" s="897"/>
      <c r="E31" s="23" t="s">
        <v>767</v>
      </c>
      <c r="G31" s="158"/>
      <c r="H31" s="23"/>
      <c r="I31" s="23"/>
      <c r="J31" s="23"/>
      <c r="K31" s="23"/>
      <c r="L31" s="23"/>
      <c r="M31" s="23"/>
      <c r="N31" s="23"/>
    </row>
    <row r="32" spans="1:14" ht="23.25" x14ac:dyDescent="0.35">
      <c r="A32" s="863"/>
      <c r="B32" s="250" t="s">
        <v>952</v>
      </c>
      <c r="C32" s="120">
        <v>34976162</v>
      </c>
      <c r="D32" s="897"/>
      <c r="E32" s="418">
        <f>SUM(C26:C33)</f>
        <v>73076431</v>
      </c>
      <c r="F32" s="25" t="s">
        <v>758</v>
      </c>
      <c r="G32" s="158"/>
      <c r="H32" s="23"/>
      <c r="I32" s="23"/>
      <c r="J32" s="23"/>
      <c r="K32" s="23"/>
      <c r="L32" s="23"/>
      <c r="M32" s="23"/>
      <c r="N32" s="23"/>
    </row>
    <row r="33" spans="1:14" ht="23.25" x14ac:dyDescent="0.35">
      <c r="A33" s="873"/>
      <c r="B33" s="656" t="s">
        <v>953</v>
      </c>
      <c r="C33" s="657">
        <v>308324</v>
      </c>
      <c r="D33" s="897"/>
      <c r="E33" s="418"/>
      <c r="F33" s="25"/>
      <c r="G33" s="158"/>
      <c r="H33" s="23"/>
      <c r="I33" s="23"/>
      <c r="J33" s="23"/>
      <c r="K33" s="23"/>
      <c r="L33" s="23"/>
      <c r="M33" s="23"/>
      <c r="N33" s="23"/>
    </row>
    <row r="34" spans="1:14" ht="23.25" x14ac:dyDescent="0.35">
      <c r="A34" s="878" t="s">
        <v>64</v>
      </c>
      <c r="B34" s="250"/>
      <c r="C34" s="265"/>
      <c r="D34" s="897"/>
      <c r="E34" s="23"/>
      <c r="G34" s="159"/>
      <c r="H34" s="23"/>
      <c r="I34" s="23"/>
      <c r="J34" s="23"/>
      <c r="K34" s="23"/>
      <c r="L34" s="23"/>
      <c r="M34" s="23"/>
      <c r="N34" s="23"/>
    </row>
    <row r="35" spans="1:14" ht="23.25" x14ac:dyDescent="0.35">
      <c r="A35" s="878"/>
      <c r="B35" s="26"/>
      <c r="C35" s="265"/>
      <c r="D35" s="897"/>
      <c r="E35" s="23"/>
      <c r="G35" s="159"/>
      <c r="H35" s="23"/>
      <c r="I35" s="23"/>
      <c r="J35" s="23"/>
      <c r="K35" s="23"/>
      <c r="L35" s="23"/>
      <c r="M35" s="23"/>
      <c r="N35" s="23"/>
    </row>
    <row r="36" spans="1:14" ht="23.25" x14ac:dyDescent="0.35">
      <c r="A36" s="878"/>
      <c r="B36" s="26"/>
      <c r="C36" s="265"/>
      <c r="D36" s="897"/>
      <c r="E36" s="23"/>
      <c r="G36" s="159"/>
      <c r="H36" s="23"/>
      <c r="I36" s="23"/>
      <c r="J36" s="23"/>
      <c r="K36" s="23"/>
      <c r="L36" s="23"/>
      <c r="M36" s="23"/>
      <c r="N36" s="23"/>
    </row>
    <row r="37" spans="1:14" ht="23.25" x14ac:dyDescent="0.35">
      <c r="A37" s="878"/>
      <c r="B37" s="26"/>
      <c r="C37" s="126"/>
      <c r="D37" s="898"/>
      <c r="E37" s="23"/>
      <c r="F37" s="160"/>
      <c r="G37" s="159"/>
      <c r="H37" s="23"/>
      <c r="I37" s="23"/>
      <c r="J37" s="23"/>
      <c r="K37" s="23"/>
      <c r="L37" s="23"/>
      <c r="M37" s="23"/>
      <c r="N37" s="23"/>
    </row>
    <row r="38" spans="1:14" ht="23.25" x14ac:dyDescent="0.35">
      <c r="A38" s="902" t="s">
        <v>59</v>
      </c>
      <c r="B38" s="903"/>
      <c r="C38" s="124">
        <f>SUM(C26:C37)</f>
        <v>73076431</v>
      </c>
      <c r="D38" s="125"/>
      <c r="E38" s="25"/>
      <c r="F38" s="160"/>
      <c r="G38" s="159"/>
      <c r="H38" s="23"/>
      <c r="I38" s="23"/>
      <c r="J38" s="23"/>
      <c r="K38" s="23"/>
      <c r="L38" s="23"/>
      <c r="M38" s="23"/>
      <c r="N38" s="23"/>
    </row>
    <row r="39" spans="1:14" ht="23.25" x14ac:dyDescent="0.35">
      <c r="A39" s="394"/>
      <c r="B39" s="135" t="s">
        <v>738</v>
      </c>
      <c r="C39" s="148"/>
      <c r="D39" s="128"/>
      <c r="E39" s="25"/>
      <c r="F39" s="160"/>
      <c r="G39" s="159"/>
      <c r="H39" s="23"/>
      <c r="I39" s="23"/>
      <c r="J39" s="23"/>
      <c r="K39" s="23"/>
      <c r="L39" s="23"/>
      <c r="M39" s="23"/>
      <c r="N39" s="23"/>
    </row>
    <row r="40" spans="1:14" ht="23.25" customHeight="1" x14ac:dyDescent="0.35">
      <c r="A40" s="864" t="s">
        <v>55</v>
      </c>
      <c r="B40" s="250" t="s">
        <v>1012</v>
      </c>
      <c r="C40" s="400">
        <f>50000+13500</f>
        <v>63500</v>
      </c>
      <c r="D40" s="891" t="s">
        <v>950</v>
      </c>
      <c r="E40" s="25"/>
      <c r="F40" s="160"/>
      <c r="G40" s="159"/>
      <c r="H40" s="23"/>
      <c r="I40" s="23"/>
      <c r="J40" s="23"/>
      <c r="K40" s="23"/>
      <c r="L40" s="23"/>
      <c r="M40" s="23"/>
      <c r="N40" s="23"/>
    </row>
    <row r="41" spans="1:14" ht="23.25" x14ac:dyDescent="0.35">
      <c r="A41" s="865"/>
      <c r="B41" s="403" t="s">
        <v>746</v>
      </c>
      <c r="C41" s="404">
        <f>12550350+3388592</f>
        <v>15938942</v>
      </c>
      <c r="D41" s="880"/>
      <c r="E41" s="25"/>
      <c r="F41" s="160"/>
      <c r="G41" s="159"/>
      <c r="H41" s="23"/>
      <c r="I41" s="23"/>
      <c r="J41" s="23"/>
      <c r="K41" s="23"/>
      <c r="L41" s="23"/>
      <c r="M41" s="23"/>
      <c r="N41" s="23"/>
    </row>
    <row r="42" spans="1:14" ht="23.25" x14ac:dyDescent="0.35">
      <c r="A42" s="865"/>
      <c r="B42" s="656" t="s">
        <v>1006</v>
      </c>
      <c r="C42" s="404">
        <f>8964+2421</f>
        <v>11385</v>
      </c>
      <c r="D42" s="880"/>
      <c r="E42" s="25"/>
      <c r="F42" s="160"/>
      <c r="G42" s="159"/>
      <c r="H42" s="23"/>
      <c r="I42" s="23"/>
      <c r="J42" s="23"/>
      <c r="K42" s="23"/>
      <c r="L42" s="23"/>
      <c r="M42" s="23"/>
      <c r="N42" s="23"/>
    </row>
    <row r="43" spans="1:14" ht="23.25" x14ac:dyDescent="0.35">
      <c r="A43" s="865"/>
      <c r="B43" s="411" t="s">
        <v>1016</v>
      </c>
      <c r="C43" s="404">
        <v>1000000</v>
      </c>
      <c r="D43" s="880"/>
      <c r="E43" s="25"/>
      <c r="F43" s="160"/>
      <c r="G43" s="159"/>
      <c r="H43" s="23"/>
      <c r="I43" s="23"/>
      <c r="J43" s="23"/>
      <c r="K43" s="23"/>
      <c r="L43" s="23"/>
      <c r="M43" s="23"/>
      <c r="N43" s="23"/>
    </row>
    <row r="44" spans="1:14" ht="23.25" x14ac:dyDescent="0.35">
      <c r="A44" s="865"/>
      <c r="B44" s="411" t="s">
        <v>1015</v>
      </c>
      <c r="C44" s="404">
        <v>300000</v>
      </c>
      <c r="D44" s="880"/>
      <c r="E44" s="25"/>
      <c r="F44" s="160"/>
      <c r="G44" s="159"/>
      <c r="H44" s="23"/>
      <c r="I44" s="23"/>
      <c r="J44" s="23"/>
      <c r="K44" s="23"/>
      <c r="L44" s="23"/>
      <c r="M44" s="23"/>
      <c r="N44" s="23"/>
    </row>
    <row r="45" spans="1:14" ht="23.25" x14ac:dyDescent="0.35">
      <c r="A45" s="865"/>
      <c r="B45" s="411" t="s">
        <v>862</v>
      </c>
      <c r="C45" s="404">
        <f>670000+180900</f>
        <v>850900</v>
      </c>
      <c r="D45" s="880"/>
      <c r="E45" s="25"/>
      <c r="F45" s="160"/>
      <c r="G45" s="159"/>
      <c r="H45" s="23"/>
      <c r="I45" s="23"/>
      <c r="J45" s="23"/>
      <c r="K45" s="23"/>
      <c r="L45" s="23"/>
      <c r="M45" s="23"/>
      <c r="N45" s="23"/>
    </row>
    <row r="46" spans="1:14" ht="23.25" x14ac:dyDescent="0.35">
      <c r="A46" s="863"/>
      <c r="B46" s="411" t="s">
        <v>1023</v>
      </c>
      <c r="C46" s="696">
        <f>270000+72900</f>
        <v>342900</v>
      </c>
      <c r="D46" s="890"/>
      <c r="E46" s="25"/>
      <c r="F46" s="160"/>
      <c r="G46" s="159"/>
      <c r="H46" s="23"/>
      <c r="I46" s="23"/>
      <c r="J46" s="23"/>
      <c r="K46" s="23"/>
      <c r="L46" s="23"/>
      <c r="M46" s="23"/>
      <c r="N46" s="23"/>
    </row>
    <row r="47" spans="1:14" ht="23.25" x14ac:dyDescent="0.35">
      <c r="A47" s="863"/>
      <c r="B47" s="411" t="s">
        <v>1014</v>
      </c>
      <c r="C47" s="696">
        <f>270000+97200</f>
        <v>367200</v>
      </c>
      <c r="D47" s="890"/>
      <c r="E47" s="25"/>
      <c r="F47" s="160"/>
      <c r="G47" s="159"/>
      <c r="H47" s="23"/>
      <c r="I47" s="23"/>
      <c r="J47" s="23"/>
      <c r="K47" s="23"/>
      <c r="L47" s="23"/>
      <c r="M47" s="23"/>
      <c r="N47" s="23"/>
    </row>
    <row r="48" spans="1:14" ht="23.25" x14ac:dyDescent="0.35">
      <c r="A48" s="865"/>
      <c r="B48" s="411" t="s">
        <v>1013</v>
      </c>
      <c r="C48" s="404">
        <f>780000+210600</f>
        <v>990600</v>
      </c>
      <c r="D48" s="880"/>
      <c r="E48" s="25"/>
      <c r="F48" s="160"/>
      <c r="G48" s="159"/>
      <c r="H48" s="23"/>
      <c r="I48" s="23"/>
      <c r="J48" s="23"/>
      <c r="K48" s="23"/>
      <c r="L48" s="23"/>
      <c r="M48" s="23"/>
      <c r="N48" s="23"/>
    </row>
    <row r="49" spans="1:14" ht="23.25" x14ac:dyDescent="0.35">
      <c r="A49" s="863"/>
      <c r="B49" s="695" t="s">
        <v>1017</v>
      </c>
      <c r="C49" s="696">
        <f>251973+68037</f>
        <v>320010</v>
      </c>
      <c r="D49" s="890"/>
      <c r="E49" s="25"/>
      <c r="F49" s="160"/>
      <c r="G49" s="159"/>
      <c r="H49" s="23"/>
      <c r="I49" s="23"/>
      <c r="J49" s="23"/>
      <c r="K49" s="23"/>
      <c r="L49" s="23"/>
      <c r="M49" s="23"/>
      <c r="N49" s="23"/>
    </row>
    <row r="50" spans="1:14" ht="23.25" x14ac:dyDescent="0.35">
      <c r="A50" s="863"/>
      <c r="B50" s="695" t="s">
        <v>1018</v>
      </c>
      <c r="C50" s="696">
        <f>90553+24447</f>
        <v>115000</v>
      </c>
      <c r="D50" s="890"/>
      <c r="E50" s="25"/>
      <c r="F50" s="160"/>
      <c r="G50" s="159"/>
      <c r="H50" s="23"/>
      <c r="I50" s="23"/>
      <c r="J50" s="23"/>
      <c r="K50" s="23"/>
      <c r="L50" s="23"/>
      <c r="M50" s="23"/>
      <c r="N50" s="23"/>
    </row>
    <row r="51" spans="1:14" ht="23.25" x14ac:dyDescent="0.35">
      <c r="A51" s="863"/>
      <c r="B51" s="695" t="s">
        <v>1019</v>
      </c>
      <c r="C51" s="696">
        <f>263785+71226</f>
        <v>335011</v>
      </c>
      <c r="D51" s="890"/>
      <c r="E51" s="25"/>
      <c r="F51" s="160"/>
      <c r="G51" s="159"/>
      <c r="H51" s="23"/>
      <c r="I51" s="23"/>
      <c r="J51" s="23"/>
      <c r="K51" s="23"/>
      <c r="L51" s="23"/>
      <c r="M51" s="23"/>
      <c r="N51" s="23"/>
    </row>
    <row r="52" spans="1:14" ht="23.25" x14ac:dyDescent="0.35">
      <c r="A52" s="863"/>
      <c r="B52" s="695" t="s">
        <v>1020</v>
      </c>
      <c r="C52" s="696">
        <f>272440+73560</f>
        <v>346000</v>
      </c>
      <c r="D52" s="890"/>
      <c r="E52" s="25"/>
      <c r="F52" s="160"/>
      <c r="G52" s="159"/>
      <c r="H52" s="23"/>
      <c r="I52" s="23"/>
      <c r="J52" s="23"/>
      <c r="K52" s="23"/>
      <c r="L52" s="23"/>
      <c r="M52" s="23"/>
      <c r="N52" s="23"/>
    </row>
    <row r="53" spans="1:14" ht="23.25" x14ac:dyDescent="0.35">
      <c r="A53" s="863"/>
      <c r="B53" s="695" t="s">
        <v>1021</v>
      </c>
      <c r="C53" s="696">
        <f>93699+25302</f>
        <v>119001</v>
      </c>
      <c r="D53" s="890"/>
      <c r="E53" s="25"/>
      <c r="F53" s="160"/>
      <c r="G53" s="159"/>
      <c r="H53" s="23"/>
      <c r="I53" s="23"/>
      <c r="J53" s="23"/>
      <c r="K53" s="23"/>
      <c r="L53" s="23"/>
      <c r="M53" s="23"/>
      <c r="N53" s="23"/>
    </row>
    <row r="54" spans="1:14" ht="23.25" x14ac:dyDescent="0.35">
      <c r="A54" s="863"/>
      <c r="B54" s="695" t="s">
        <v>1022</v>
      </c>
      <c r="C54" s="696">
        <f>91345+24666</f>
        <v>116011</v>
      </c>
      <c r="D54" s="890"/>
      <c r="E54" s="25"/>
      <c r="F54" s="160"/>
      <c r="G54" s="159"/>
      <c r="H54" s="23"/>
      <c r="I54" s="23"/>
      <c r="J54" s="23"/>
      <c r="K54" s="23"/>
      <c r="L54" s="23"/>
      <c r="M54" s="23"/>
      <c r="N54" s="23"/>
    </row>
    <row r="55" spans="1:14" ht="23.25" x14ac:dyDescent="0.35">
      <c r="A55" s="865"/>
      <c r="B55" s="411" t="s">
        <v>863</v>
      </c>
      <c r="C55" s="404">
        <v>300000</v>
      </c>
      <c r="D55" s="880"/>
      <c r="E55" s="25"/>
      <c r="F55" s="160"/>
      <c r="G55" s="159"/>
      <c r="H55" s="23"/>
      <c r="I55" s="23"/>
      <c r="J55" s="23"/>
      <c r="K55" s="23"/>
      <c r="L55" s="23"/>
      <c r="M55" s="23"/>
      <c r="N55" s="23"/>
    </row>
    <row r="56" spans="1:14" ht="23.25" x14ac:dyDescent="0.35">
      <c r="A56" s="863"/>
      <c r="B56" s="695" t="s">
        <v>1024</v>
      </c>
      <c r="C56" s="696">
        <v>437000</v>
      </c>
      <c r="D56" s="890"/>
      <c r="E56" s="25"/>
      <c r="F56" s="160"/>
      <c r="G56" s="159"/>
      <c r="H56" s="23"/>
      <c r="I56" s="23"/>
      <c r="J56" s="23"/>
      <c r="K56" s="23"/>
      <c r="L56" s="23"/>
      <c r="M56" s="23"/>
      <c r="N56" s="23"/>
    </row>
    <row r="57" spans="1:14" ht="46.5" x14ac:dyDescent="0.35">
      <c r="A57" s="863"/>
      <c r="B57" s="695" t="s">
        <v>1025</v>
      </c>
      <c r="C57" s="696">
        <f>590000+159300</f>
        <v>749300</v>
      </c>
      <c r="D57" s="890"/>
      <c r="E57" s="25"/>
      <c r="F57" s="160"/>
      <c r="G57" s="159"/>
      <c r="H57" s="23"/>
      <c r="I57" s="23"/>
      <c r="J57" s="23"/>
      <c r="K57" s="23"/>
      <c r="L57" s="23"/>
      <c r="M57" s="23"/>
      <c r="N57" s="23"/>
    </row>
    <row r="58" spans="1:14" ht="23.25" x14ac:dyDescent="0.35">
      <c r="A58" s="863"/>
      <c r="B58" s="695" t="s">
        <v>1026</v>
      </c>
      <c r="C58" s="696">
        <f>902345+45116</f>
        <v>947461</v>
      </c>
      <c r="D58" s="890"/>
      <c r="E58" s="25"/>
      <c r="F58" s="160"/>
      <c r="G58" s="159"/>
      <c r="H58" s="23"/>
      <c r="I58" s="23"/>
      <c r="J58" s="23"/>
      <c r="K58" s="23"/>
      <c r="L58" s="23"/>
      <c r="M58" s="23"/>
      <c r="N58" s="23"/>
    </row>
    <row r="59" spans="1:14" ht="23.25" x14ac:dyDescent="0.35">
      <c r="A59" s="863"/>
      <c r="B59" s="695" t="s">
        <v>1027</v>
      </c>
      <c r="C59" s="696">
        <f>7000000+1890000</f>
        <v>8890000</v>
      </c>
      <c r="D59" s="890"/>
      <c r="E59" s="25"/>
      <c r="F59" s="160"/>
      <c r="G59" s="159"/>
      <c r="H59" s="23"/>
      <c r="I59" s="23"/>
      <c r="J59" s="23"/>
      <c r="K59" s="23"/>
      <c r="L59" s="23"/>
      <c r="M59" s="23"/>
      <c r="N59" s="23"/>
    </row>
    <row r="60" spans="1:14" ht="23.25" x14ac:dyDescent="0.35">
      <c r="A60" s="863"/>
      <c r="B60" s="695" t="s">
        <v>1028</v>
      </c>
      <c r="C60" s="696">
        <f>2500000+675000</f>
        <v>3175000</v>
      </c>
      <c r="D60" s="890"/>
      <c r="E60" s="25"/>
      <c r="F60" s="160"/>
      <c r="G60" s="159"/>
      <c r="H60" s="23"/>
      <c r="I60" s="23"/>
      <c r="J60" s="23"/>
      <c r="K60" s="23"/>
      <c r="L60" s="23"/>
      <c r="M60" s="23"/>
      <c r="N60" s="23"/>
    </row>
    <row r="61" spans="1:14" ht="69.75" x14ac:dyDescent="0.35">
      <c r="A61" s="863"/>
      <c r="B61" s="695" t="s">
        <v>1029</v>
      </c>
      <c r="C61" s="696">
        <f>150000+40500</f>
        <v>190500</v>
      </c>
      <c r="D61" s="890"/>
      <c r="E61" s="25"/>
      <c r="F61" s="160"/>
      <c r="G61" s="159"/>
      <c r="H61" s="23"/>
      <c r="I61" s="23"/>
      <c r="J61" s="23"/>
      <c r="K61" s="23"/>
      <c r="L61" s="23"/>
      <c r="M61" s="23"/>
      <c r="N61" s="23"/>
    </row>
    <row r="62" spans="1:14" ht="23.25" x14ac:dyDescent="0.35">
      <c r="A62" s="863"/>
      <c r="B62" s="695" t="s">
        <v>1030</v>
      </c>
      <c r="C62" s="696">
        <f>216000+58320</f>
        <v>274320</v>
      </c>
      <c r="D62" s="890"/>
      <c r="E62" s="25"/>
      <c r="F62" s="160"/>
      <c r="G62" s="159"/>
      <c r="H62" s="23"/>
      <c r="I62" s="23"/>
      <c r="J62" s="23"/>
      <c r="K62" s="23"/>
      <c r="L62" s="23"/>
      <c r="M62" s="23"/>
      <c r="N62" s="23"/>
    </row>
    <row r="63" spans="1:14" ht="46.5" x14ac:dyDescent="0.35">
      <c r="A63" s="863"/>
      <c r="B63" s="695" t="s">
        <v>1031</v>
      </c>
      <c r="C63" s="696">
        <f>1424974+384743</f>
        <v>1809717</v>
      </c>
      <c r="D63" s="890"/>
      <c r="E63" s="25"/>
      <c r="F63" s="160"/>
      <c r="G63" s="159"/>
      <c r="H63" s="23"/>
      <c r="I63" s="23"/>
      <c r="J63" s="23"/>
      <c r="K63" s="23"/>
      <c r="L63" s="23"/>
      <c r="M63" s="23"/>
      <c r="N63" s="23"/>
    </row>
    <row r="64" spans="1:14" ht="69.75" x14ac:dyDescent="0.35">
      <c r="A64" s="863"/>
      <c r="B64" s="695" t="s">
        <v>1032</v>
      </c>
      <c r="C64" s="696">
        <f>252250+68107</f>
        <v>320357</v>
      </c>
      <c r="D64" s="890"/>
      <c r="E64" s="25"/>
      <c r="F64" s="160"/>
      <c r="G64" s="159"/>
      <c r="H64" s="23"/>
      <c r="I64" s="23"/>
      <c r="J64" s="23"/>
      <c r="K64" s="23"/>
      <c r="L64" s="23"/>
      <c r="M64" s="23"/>
      <c r="N64" s="23"/>
    </row>
    <row r="65" spans="1:14" ht="69.75" x14ac:dyDescent="0.35">
      <c r="A65" s="863"/>
      <c r="B65" s="695" t="s">
        <v>1033</v>
      </c>
      <c r="C65" s="696">
        <v>470000</v>
      </c>
      <c r="D65" s="890"/>
      <c r="E65" s="25"/>
      <c r="F65" s="160"/>
      <c r="G65" s="159"/>
      <c r="H65" s="23"/>
      <c r="I65" s="23"/>
      <c r="J65" s="23"/>
      <c r="K65" s="23"/>
      <c r="L65" s="23"/>
      <c r="M65" s="23"/>
      <c r="N65" s="23"/>
    </row>
    <row r="66" spans="1:14" ht="46.5" x14ac:dyDescent="0.35">
      <c r="A66" s="863"/>
      <c r="B66" s="695" t="s">
        <v>1034</v>
      </c>
      <c r="C66" s="696">
        <f>1400000+378000</f>
        <v>1778000</v>
      </c>
      <c r="D66" s="890"/>
      <c r="E66" s="25"/>
      <c r="F66" s="160"/>
      <c r="G66" s="159"/>
      <c r="H66" s="23"/>
      <c r="I66" s="23"/>
      <c r="J66" s="23"/>
      <c r="K66" s="23"/>
      <c r="L66" s="23"/>
      <c r="M66" s="23"/>
      <c r="N66" s="23"/>
    </row>
    <row r="67" spans="1:14" ht="69.75" x14ac:dyDescent="0.35">
      <c r="A67" s="863"/>
      <c r="B67" s="695" t="s">
        <v>1035</v>
      </c>
      <c r="C67" s="696">
        <f>1250000+337500</f>
        <v>1587500</v>
      </c>
      <c r="D67" s="890"/>
      <c r="E67" s="25"/>
      <c r="F67" s="160"/>
      <c r="G67" s="159"/>
      <c r="H67" s="23"/>
      <c r="I67" s="23"/>
      <c r="J67" s="23"/>
      <c r="K67" s="23"/>
      <c r="L67" s="23"/>
      <c r="M67" s="23"/>
      <c r="N67" s="23"/>
    </row>
    <row r="68" spans="1:14" ht="69.75" x14ac:dyDescent="0.35">
      <c r="A68" s="863"/>
      <c r="B68" s="695" t="s">
        <v>1036</v>
      </c>
      <c r="C68" s="696">
        <f>4198820+1133681</f>
        <v>5332501</v>
      </c>
      <c r="D68" s="890"/>
      <c r="E68" s="25"/>
      <c r="F68" s="160"/>
      <c r="G68" s="159"/>
      <c r="H68" s="23"/>
      <c r="I68" s="23"/>
      <c r="J68" s="23"/>
      <c r="K68" s="23"/>
      <c r="L68" s="23"/>
      <c r="M68" s="23"/>
      <c r="N68" s="23"/>
    </row>
    <row r="69" spans="1:14" ht="23.25" x14ac:dyDescent="0.35">
      <c r="A69" s="863"/>
      <c r="B69" s="695" t="s">
        <v>1037</v>
      </c>
      <c r="C69" s="696">
        <v>2451100</v>
      </c>
      <c r="D69" s="890"/>
      <c r="E69" s="25"/>
      <c r="F69" s="160"/>
      <c r="G69" s="159"/>
      <c r="H69" s="23"/>
      <c r="I69" s="23"/>
      <c r="J69" s="23"/>
      <c r="K69" s="23"/>
      <c r="L69" s="23"/>
      <c r="M69" s="23"/>
      <c r="N69" s="23"/>
    </row>
    <row r="70" spans="1:14" ht="23.25" x14ac:dyDescent="0.35">
      <c r="A70" s="863"/>
      <c r="B70" s="695" t="s">
        <v>1038</v>
      </c>
      <c r="C70" s="696">
        <f>962591+259900</f>
        <v>1222491</v>
      </c>
      <c r="D70" s="890"/>
      <c r="E70" s="25"/>
      <c r="F70" s="160"/>
      <c r="G70" s="159"/>
      <c r="H70" s="23"/>
      <c r="I70" s="23"/>
      <c r="J70" s="23"/>
      <c r="K70" s="23"/>
      <c r="L70" s="23"/>
      <c r="M70" s="23"/>
      <c r="N70" s="23"/>
    </row>
    <row r="71" spans="1:14" ht="23.25" x14ac:dyDescent="0.35">
      <c r="A71" s="863"/>
      <c r="B71" s="695" t="s">
        <v>1039</v>
      </c>
      <c r="C71" s="696">
        <f>665000+179550+100000</f>
        <v>944550</v>
      </c>
      <c r="D71" s="890"/>
      <c r="E71" s="25"/>
      <c r="F71" s="160"/>
      <c r="G71" s="159"/>
      <c r="H71" s="23"/>
      <c r="I71" s="23"/>
      <c r="J71" s="23"/>
      <c r="K71" s="23"/>
      <c r="L71" s="23"/>
      <c r="M71" s="23"/>
      <c r="N71" s="23"/>
    </row>
    <row r="72" spans="1:14" ht="46.5" x14ac:dyDescent="0.35">
      <c r="A72" s="863"/>
      <c r="B72" s="695" t="s">
        <v>1040</v>
      </c>
      <c r="C72" s="696">
        <f>400000+108000</f>
        <v>508000</v>
      </c>
      <c r="D72" s="890"/>
      <c r="E72" s="25"/>
      <c r="F72" s="160"/>
      <c r="G72" s="159"/>
      <c r="H72" s="23"/>
      <c r="I72" s="23"/>
      <c r="J72" s="23"/>
      <c r="K72" s="23"/>
      <c r="L72" s="23"/>
      <c r="M72" s="23"/>
      <c r="N72" s="23"/>
    </row>
    <row r="73" spans="1:14" ht="23.25" x14ac:dyDescent="0.35">
      <c r="A73" s="863"/>
      <c r="B73" s="411" t="s">
        <v>1041</v>
      </c>
      <c r="C73" s="696">
        <v>50000</v>
      </c>
      <c r="D73" s="890"/>
      <c r="E73" s="25"/>
      <c r="F73" s="160"/>
      <c r="G73" s="159"/>
      <c r="H73" s="23"/>
      <c r="I73" s="23"/>
      <c r="J73" s="23"/>
      <c r="K73" s="23"/>
      <c r="L73" s="23"/>
      <c r="M73" s="23"/>
      <c r="N73" s="23"/>
    </row>
    <row r="74" spans="1:14" ht="23.25" x14ac:dyDescent="0.35">
      <c r="A74" s="863"/>
      <c r="B74" s="695" t="s">
        <v>1042</v>
      </c>
      <c r="C74" s="696">
        <f>235899+63693+9869+2665+58866+15894</f>
        <v>386886</v>
      </c>
      <c r="D74" s="890"/>
      <c r="E74" s="25"/>
      <c r="F74" s="160"/>
      <c r="G74" s="159"/>
      <c r="H74" s="23"/>
      <c r="I74" s="23"/>
      <c r="J74" s="23"/>
      <c r="K74" s="23"/>
      <c r="L74" s="23"/>
      <c r="M74" s="23"/>
      <c r="N74" s="23"/>
    </row>
    <row r="75" spans="1:14" ht="23.25" x14ac:dyDescent="0.35">
      <c r="A75" s="863"/>
      <c r="B75" s="695" t="s">
        <v>1043</v>
      </c>
      <c r="C75" s="696">
        <f>200000+54000</f>
        <v>254000</v>
      </c>
      <c r="D75" s="890"/>
      <c r="E75" s="25"/>
      <c r="F75" s="160"/>
      <c r="G75" s="159"/>
      <c r="H75" s="23"/>
      <c r="I75" s="23"/>
      <c r="J75" s="23"/>
      <c r="K75" s="23"/>
      <c r="L75" s="23"/>
      <c r="M75" s="23"/>
      <c r="N75" s="23"/>
    </row>
    <row r="76" spans="1:14" ht="23.25" x14ac:dyDescent="0.35">
      <c r="A76" s="863"/>
      <c r="B76" s="695" t="s">
        <v>1044</v>
      </c>
      <c r="C76" s="696">
        <f>3191+63810</f>
        <v>67001</v>
      </c>
      <c r="D76" s="890"/>
      <c r="E76" s="25"/>
      <c r="F76" s="160"/>
      <c r="G76" s="159"/>
      <c r="H76" s="23"/>
      <c r="I76" s="23"/>
      <c r="J76" s="23"/>
      <c r="K76" s="23"/>
      <c r="L76" s="23"/>
      <c r="M76" s="23"/>
      <c r="N76" s="23"/>
    </row>
    <row r="77" spans="1:14" ht="23.25" x14ac:dyDescent="0.35">
      <c r="A77" s="863"/>
      <c r="B77" s="695" t="s">
        <v>1045</v>
      </c>
      <c r="C77" s="696">
        <f>395000+106650</f>
        <v>501650</v>
      </c>
      <c r="D77" s="890"/>
      <c r="E77" s="25"/>
      <c r="F77" s="160"/>
      <c r="G77" s="159"/>
      <c r="H77" s="23"/>
      <c r="I77" s="23"/>
      <c r="J77" s="23"/>
      <c r="K77" s="23"/>
      <c r="L77" s="23"/>
      <c r="M77" s="23"/>
      <c r="N77" s="23"/>
    </row>
    <row r="78" spans="1:14" ht="46.5" x14ac:dyDescent="0.35">
      <c r="A78" s="863"/>
      <c r="B78" s="695" t="s">
        <v>1046</v>
      </c>
      <c r="C78" s="696">
        <f>5200000+1404000</f>
        <v>6604000</v>
      </c>
      <c r="D78" s="890"/>
      <c r="E78" s="25"/>
      <c r="F78" s="160"/>
      <c r="G78" s="159"/>
      <c r="H78" s="23"/>
      <c r="I78" s="23"/>
      <c r="J78" s="23"/>
      <c r="K78" s="23"/>
      <c r="L78" s="23"/>
      <c r="M78" s="23"/>
      <c r="N78" s="23"/>
    </row>
    <row r="79" spans="1:14" ht="23.25" x14ac:dyDescent="0.35">
      <c r="A79" s="863"/>
      <c r="B79" s="695" t="s">
        <v>1047</v>
      </c>
      <c r="C79" s="696">
        <f>200000+54000</f>
        <v>254000</v>
      </c>
      <c r="D79" s="890"/>
      <c r="E79" s="25"/>
      <c r="F79" s="160"/>
      <c r="G79" s="159"/>
      <c r="H79" s="23"/>
      <c r="I79" s="23"/>
      <c r="J79" s="23"/>
      <c r="K79" s="23"/>
      <c r="L79" s="23"/>
      <c r="M79" s="23"/>
      <c r="N79" s="23"/>
    </row>
    <row r="80" spans="1:14" ht="23.25" x14ac:dyDescent="0.35">
      <c r="A80" s="863"/>
      <c r="B80" s="695" t="s">
        <v>1048</v>
      </c>
      <c r="C80" s="696">
        <f>286000+77220</f>
        <v>363220</v>
      </c>
      <c r="D80" s="890"/>
      <c r="E80" s="25"/>
      <c r="F80" s="160"/>
      <c r="G80" s="159"/>
      <c r="H80" s="23"/>
      <c r="I80" s="23"/>
      <c r="J80" s="23"/>
      <c r="K80" s="23"/>
      <c r="L80" s="23"/>
      <c r="M80" s="23"/>
      <c r="N80" s="23"/>
    </row>
    <row r="81" spans="1:14" ht="23.25" x14ac:dyDescent="0.35">
      <c r="A81" s="863"/>
      <c r="B81" s="695" t="s">
        <v>1049</v>
      </c>
      <c r="C81" s="696">
        <v>635000</v>
      </c>
      <c r="D81" s="890"/>
      <c r="E81" s="25"/>
      <c r="F81" s="160"/>
      <c r="G81" s="159"/>
      <c r="H81" s="23"/>
      <c r="I81" s="23"/>
      <c r="J81" s="23"/>
      <c r="K81" s="23"/>
      <c r="L81" s="23"/>
      <c r="M81" s="23"/>
      <c r="N81" s="23"/>
    </row>
    <row r="82" spans="1:14" ht="23.25" x14ac:dyDescent="0.35">
      <c r="A82" s="863"/>
      <c r="B82" s="695" t="s">
        <v>1050</v>
      </c>
      <c r="C82" s="696">
        <v>100000</v>
      </c>
      <c r="D82" s="890"/>
      <c r="E82" s="25"/>
      <c r="F82" s="160"/>
      <c r="G82" s="159"/>
      <c r="H82" s="23"/>
      <c r="I82" s="23"/>
      <c r="J82" s="23"/>
      <c r="K82" s="23"/>
      <c r="L82" s="23"/>
      <c r="M82" s="23"/>
      <c r="N82" s="23"/>
    </row>
    <row r="83" spans="1:14" ht="23.25" x14ac:dyDescent="0.35">
      <c r="A83" s="865"/>
      <c r="B83" s="411" t="s">
        <v>754</v>
      </c>
      <c r="C83" s="404">
        <f>16851741+4549970</f>
        <v>21401711</v>
      </c>
      <c r="D83" s="880"/>
      <c r="E83" s="25" t="s">
        <v>768</v>
      </c>
      <c r="F83" s="160"/>
      <c r="G83" s="159"/>
      <c r="H83" s="23"/>
      <c r="I83" s="23"/>
      <c r="J83" s="23"/>
      <c r="K83" s="23"/>
      <c r="L83" s="23"/>
      <c r="M83" s="23"/>
      <c r="N83" s="23"/>
    </row>
    <row r="84" spans="1:14" ht="46.5" x14ac:dyDescent="0.35">
      <c r="A84" s="865"/>
      <c r="B84" s="411" t="s">
        <v>755</v>
      </c>
      <c r="C84" s="404">
        <f>480000+129600</f>
        <v>609600</v>
      </c>
      <c r="D84" s="880"/>
      <c r="E84" s="25">
        <f>SUM(C40:C84)</f>
        <v>83831325</v>
      </c>
      <c r="F84" s="414" t="s">
        <v>757</v>
      </c>
      <c r="G84" s="159"/>
      <c r="H84" s="23"/>
      <c r="I84" s="23"/>
      <c r="J84" s="23"/>
      <c r="K84" s="23"/>
      <c r="L84" s="23"/>
      <c r="M84" s="23"/>
      <c r="N84" s="23"/>
    </row>
    <row r="85" spans="1:14" ht="23.25" x14ac:dyDescent="0.35">
      <c r="A85" s="864" t="s">
        <v>56</v>
      </c>
      <c r="B85" s="413" t="s">
        <v>756</v>
      </c>
      <c r="C85" s="400">
        <f>1110000+299700</f>
        <v>1409700</v>
      </c>
      <c r="D85" s="891" t="s">
        <v>950</v>
      </c>
      <c r="E85" s="25"/>
      <c r="F85" s="160"/>
      <c r="G85" s="159"/>
      <c r="H85" s="23"/>
      <c r="I85" s="23"/>
      <c r="J85" s="23"/>
      <c r="K85" s="23"/>
      <c r="L85" s="23"/>
      <c r="M85" s="23"/>
      <c r="N85" s="23"/>
    </row>
    <row r="86" spans="1:14" ht="46.5" x14ac:dyDescent="0.35">
      <c r="A86" s="863"/>
      <c r="B86" s="697" t="s">
        <v>1051</v>
      </c>
      <c r="C86" s="696">
        <f>390000+105300</f>
        <v>495300</v>
      </c>
      <c r="D86" s="890"/>
      <c r="E86" s="25"/>
      <c r="F86" s="160"/>
      <c r="G86" s="159"/>
      <c r="H86" s="23"/>
      <c r="I86" s="23"/>
      <c r="J86" s="23"/>
      <c r="K86" s="23"/>
      <c r="L86" s="23"/>
      <c r="M86" s="23"/>
      <c r="N86" s="23"/>
    </row>
    <row r="87" spans="1:14" ht="23.25" x14ac:dyDescent="0.35">
      <c r="A87" s="863"/>
      <c r="B87" s="697" t="s">
        <v>1052</v>
      </c>
      <c r="C87" s="696">
        <f>8500000+2295000</f>
        <v>10795000</v>
      </c>
      <c r="D87" s="890"/>
      <c r="E87" s="25"/>
      <c r="F87" s="160"/>
      <c r="G87" s="159"/>
      <c r="H87" s="23"/>
      <c r="I87" s="23"/>
      <c r="J87" s="23"/>
      <c r="K87" s="23"/>
      <c r="L87" s="23"/>
      <c r="M87" s="23"/>
      <c r="N87" s="23"/>
    </row>
    <row r="88" spans="1:14" ht="46.5" x14ac:dyDescent="0.35">
      <c r="A88" s="863"/>
      <c r="B88" s="697" t="s">
        <v>1053</v>
      </c>
      <c r="C88" s="696">
        <f>2090000+564300</f>
        <v>2654300</v>
      </c>
      <c r="D88" s="890"/>
      <c r="E88" s="25"/>
      <c r="F88" s="160"/>
      <c r="G88" s="159"/>
      <c r="H88" s="23"/>
      <c r="I88" s="23"/>
      <c r="J88" s="23"/>
      <c r="K88" s="23"/>
      <c r="L88" s="23"/>
      <c r="M88" s="23"/>
      <c r="N88" s="23"/>
    </row>
    <row r="89" spans="1:14" ht="23.25" x14ac:dyDescent="0.35">
      <c r="A89" s="863"/>
      <c r="B89" s="697" t="s">
        <v>1054</v>
      </c>
      <c r="C89" s="696">
        <f>1800000+486000</f>
        <v>2286000</v>
      </c>
      <c r="D89" s="890"/>
      <c r="E89" s="25"/>
      <c r="F89" s="160"/>
      <c r="G89" s="159"/>
      <c r="H89" s="23"/>
      <c r="I89" s="23"/>
      <c r="J89" s="23"/>
      <c r="K89" s="23"/>
      <c r="L89" s="23"/>
      <c r="M89" s="23"/>
      <c r="N89" s="23"/>
    </row>
    <row r="90" spans="1:14" ht="46.5" x14ac:dyDescent="0.35">
      <c r="A90" s="863"/>
      <c r="B90" s="697" t="s">
        <v>1055</v>
      </c>
      <c r="C90" s="696">
        <f>1000000+270000</f>
        <v>1270000</v>
      </c>
      <c r="D90" s="890"/>
      <c r="E90" s="25"/>
      <c r="F90" s="160"/>
      <c r="G90" s="159"/>
      <c r="H90" s="23"/>
      <c r="I90" s="23"/>
      <c r="J90" s="23"/>
      <c r="K90" s="23"/>
      <c r="L90" s="23"/>
      <c r="M90" s="23"/>
      <c r="N90" s="23"/>
    </row>
    <row r="91" spans="1:14" ht="46.5" x14ac:dyDescent="0.35">
      <c r="A91" s="863"/>
      <c r="B91" s="697" t="s">
        <v>1056</v>
      </c>
      <c r="C91" s="696">
        <f>1000000+270000</f>
        <v>1270000</v>
      </c>
      <c r="D91" s="890"/>
      <c r="E91" s="25"/>
      <c r="F91" s="160"/>
      <c r="G91" s="159"/>
      <c r="H91" s="23"/>
      <c r="I91" s="23"/>
      <c r="J91" s="23"/>
      <c r="K91" s="23"/>
      <c r="L91" s="23"/>
      <c r="M91" s="23"/>
      <c r="N91" s="23"/>
    </row>
    <row r="92" spans="1:14" ht="69.75" x14ac:dyDescent="0.35">
      <c r="A92" s="863"/>
      <c r="B92" s="697" t="s">
        <v>1057</v>
      </c>
      <c r="C92" s="696">
        <f>19063308+5147093</f>
        <v>24210401</v>
      </c>
      <c r="D92" s="890"/>
      <c r="E92" s="25"/>
      <c r="F92" s="160"/>
      <c r="G92" s="159"/>
      <c r="H92" s="23"/>
      <c r="I92" s="23"/>
      <c r="J92" s="23"/>
      <c r="K92" s="23"/>
      <c r="L92" s="23"/>
      <c r="M92" s="23"/>
      <c r="N92" s="23"/>
    </row>
    <row r="93" spans="1:14" ht="69.75" x14ac:dyDescent="0.35">
      <c r="A93" s="863"/>
      <c r="B93" s="697" t="s">
        <v>1058</v>
      </c>
      <c r="C93" s="696">
        <f>14070393+3799006</f>
        <v>17869399</v>
      </c>
      <c r="D93" s="890"/>
      <c r="E93" s="25"/>
      <c r="F93" s="160"/>
      <c r="G93" s="159"/>
      <c r="H93" s="23"/>
      <c r="I93" s="23"/>
      <c r="J93" s="23"/>
      <c r="K93" s="23"/>
      <c r="L93" s="23"/>
      <c r="M93" s="23"/>
      <c r="N93" s="23"/>
    </row>
    <row r="94" spans="1:14" ht="23.25" x14ac:dyDescent="0.35">
      <c r="A94" s="863"/>
      <c r="B94" s="697" t="s">
        <v>1059</v>
      </c>
      <c r="C94" s="696">
        <f>550000+148500</f>
        <v>698500</v>
      </c>
      <c r="D94" s="890"/>
      <c r="E94" s="25"/>
      <c r="F94" s="160"/>
      <c r="G94" s="159"/>
      <c r="H94" s="23"/>
      <c r="I94" s="23"/>
      <c r="J94" s="23"/>
      <c r="K94" s="23"/>
      <c r="L94" s="23"/>
      <c r="M94" s="23"/>
      <c r="N94" s="23"/>
    </row>
    <row r="95" spans="1:14" ht="23.25" x14ac:dyDescent="0.35">
      <c r="A95" s="863"/>
      <c r="B95" s="697" t="s">
        <v>1060</v>
      </c>
      <c r="C95" s="696">
        <v>300000</v>
      </c>
      <c r="D95" s="890"/>
      <c r="E95" s="25"/>
      <c r="F95" s="160"/>
      <c r="G95" s="159"/>
      <c r="H95" s="23"/>
      <c r="I95" s="23"/>
      <c r="J95" s="23"/>
      <c r="K95" s="23"/>
      <c r="L95" s="23"/>
      <c r="M95" s="23"/>
      <c r="N95" s="23"/>
    </row>
    <row r="96" spans="1:14" ht="46.5" x14ac:dyDescent="0.35">
      <c r="A96" s="863"/>
      <c r="B96" s="697" t="s">
        <v>1061</v>
      </c>
      <c r="C96" s="696">
        <f>3225269+870823</f>
        <v>4096092</v>
      </c>
      <c r="D96" s="890"/>
      <c r="E96" s="25"/>
      <c r="F96" s="160"/>
      <c r="G96" s="159"/>
      <c r="H96" s="23"/>
      <c r="I96" s="23"/>
      <c r="J96" s="23"/>
      <c r="K96" s="23"/>
      <c r="L96" s="23"/>
      <c r="M96" s="23"/>
      <c r="N96" s="23"/>
    </row>
    <row r="97" spans="1:14" ht="46.5" x14ac:dyDescent="0.35">
      <c r="A97" s="863"/>
      <c r="B97" s="697" t="s">
        <v>1062</v>
      </c>
      <c r="C97" s="696">
        <f>3923965+1059471</f>
        <v>4983436</v>
      </c>
      <c r="D97" s="890"/>
      <c r="E97" s="25"/>
      <c r="F97" s="160"/>
      <c r="G97" s="159"/>
      <c r="H97" s="23"/>
      <c r="I97" s="23"/>
      <c r="J97" s="23"/>
      <c r="K97" s="23"/>
      <c r="L97" s="23"/>
      <c r="M97" s="23"/>
      <c r="N97" s="23"/>
    </row>
    <row r="98" spans="1:14" ht="23.25" x14ac:dyDescent="0.35">
      <c r="A98" s="863"/>
      <c r="B98" s="697" t="s">
        <v>1063</v>
      </c>
      <c r="C98" s="696">
        <f>447286628+120767390</f>
        <v>568054018</v>
      </c>
      <c r="D98" s="890"/>
      <c r="E98" s="25"/>
      <c r="F98" s="160"/>
      <c r="G98" s="159"/>
      <c r="H98" s="23"/>
      <c r="I98" s="23"/>
      <c r="J98" s="23"/>
      <c r="K98" s="23"/>
      <c r="L98" s="23"/>
      <c r="M98" s="23"/>
      <c r="N98" s="23"/>
    </row>
    <row r="99" spans="1:14" ht="46.5" x14ac:dyDescent="0.35">
      <c r="A99" s="863"/>
      <c r="B99" s="697" t="s">
        <v>1064</v>
      </c>
      <c r="C99" s="696">
        <f>1330000+359100</f>
        <v>1689100</v>
      </c>
      <c r="D99" s="890"/>
      <c r="E99" s="25"/>
      <c r="F99" s="160"/>
      <c r="G99" s="159"/>
      <c r="H99" s="23"/>
      <c r="I99" s="23"/>
      <c r="J99" s="23"/>
      <c r="K99" s="23"/>
      <c r="L99" s="23"/>
      <c r="M99" s="23"/>
      <c r="N99" s="23"/>
    </row>
    <row r="100" spans="1:14" ht="46.5" x14ac:dyDescent="0.35">
      <c r="A100" s="863"/>
      <c r="B100" s="697" t="s">
        <v>1065</v>
      </c>
      <c r="C100" s="696">
        <f>741000+200070</f>
        <v>941070</v>
      </c>
      <c r="D100" s="890"/>
      <c r="E100" s="25"/>
      <c r="F100" s="160"/>
      <c r="G100" s="159"/>
      <c r="H100" s="23"/>
      <c r="I100" s="23"/>
      <c r="J100" s="23"/>
      <c r="K100" s="23"/>
      <c r="L100" s="23"/>
      <c r="M100" s="23"/>
      <c r="N100" s="23"/>
    </row>
    <row r="101" spans="1:14" ht="53.25" customHeight="1" x14ac:dyDescent="0.35">
      <c r="A101" s="863"/>
      <c r="B101" s="697" t="s">
        <v>1066</v>
      </c>
      <c r="C101" s="696">
        <f>712500+192375</f>
        <v>904875</v>
      </c>
      <c r="D101" s="890"/>
      <c r="E101" s="25"/>
      <c r="F101" s="160"/>
      <c r="G101" s="159"/>
      <c r="H101" s="23"/>
      <c r="I101" s="23"/>
      <c r="J101" s="23"/>
      <c r="K101" s="23"/>
      <c r="L101" s="23"/>
      <c r="M101" s="23"/>
      <c r="N101" s="23"/>
    </row>
    <row r="102" spans="1:14" ht="50.25" customHeight="1" x14ac:dyDescent="0.35">
      <c r="A102" s="863"/>
      <c r="B102" s="697" t="s">
        <v>1067</v>
      </c>
      <c r="C102" s="696">
        <f>1520000+410400</f>
        <v>1930400</v>
      </c>
      <c r="D102" s="890"/>
      <c r="E102" s="25" t="s">
        <v>768</v>
      </c>
      <c r="F102" s="160"/>
      <c r="G102" s="159"/>
      <c r="H102" s="23"/>
      <c r="I102" s="23"/>
      <c r="J102" s="23"/>
      <c r="K102" s="23"/>
      <c r="L102" s="23"/>
      <c r="M102" s="23"/>
      <c r="N102" s="23"/>
    </row>
    <row r="103" spans="1:14" ht="46.5" x14ac:dyDescent="0.35">
      <c r="A103" s="863"/>
      <c r="B103" s="697" t="s">
        <v>1068</v>
      </c>
      <c r="C103" s="696">
        <f>475000+128250</f>
        <v>603250</v>
      </c>
      <c r="D103" s="890"/>
      <c r="E103" s="25">
        <f>SUM(C85:C103)</f>
        <v>646460841</v>
      </c>
      <c r="F103" s="25" t="s">
        <v>758</v>
      </c>
      <c r="G103" s="159"/>
      <c r="H103" s="23"/>
      <c r="I103" s="23"/>
      <c r="J103" s="23"/>
      <c r="K103" s="23"/>
      <c r="L103" s="23"/>
      <c r="M103" s="23"/>
      <c r="N103" s="23"/>
    </row>
    <row r="104" spans="1:14" ht="23.25" x14ac:dyDescent="0.35">
      <c r="A104" s="856" t="s">
        <v>740</v>
      </c>
      <c r="B104" s="856"/>
      <c r="C104" s="402">
        <f>SUM(C40:C103)</f>
        <v>730292166</v>
      </c>
      <c r="D104" s="401"/>
      <c r="E104" s="25"/>
      <c r="F104" s="160"/>
      <c r="G104" s="159"/>
      <c r="H104" s="23"/>
      <c r="I104" s="23"/>
      <c r="J104" s="23"/>
      <c r="K104" s="23"/>
      <c r="L104" s="23"/>
      <c r="M104" s="23"/>
      <c r="N104" s="23"/>
    </row>
    <row r="105" spans="1:14" ht="23.25" x14ac:dyDescent="0.35">
      <c r="A105" s="853" t="s">
        <v>759</v>
      </c>
      <c r="B105" s="854"/>
      <c r="C105" s="855"/>
      <c r="D105" s="410"/>
      <c r="E105" s="25"/>
      <c r="F105" s="160"/>
      <c r="G105" s="159"/>
      <c r="H105" s="23"/>
      <c r="I105" s="23"/>
      <c r="J105" s="23"/>
      <c r="K105" s="23"/>
      <c r="L105" s="23"/>
      <c r="M105" s="23"/>
      <c r="N105" s="23"/>
    </row>
    <row r="106" spans="1:14" ht="50.25" customHeight="1" x14ac:dyDescent="0.35">
      <c r="A106" s="868" t="s">
        <v>55</v>
      </c>
      <c r="B106" s="412"/>
      <c r="C106" s="404"/>
      <c r="D106" s="852" t="s">
        <v>950</v>
      </c>
      <c r="E106" s="25" t="s">
        <v>769</v>
      </c>
      <c r="F106" s="160"/>
      <c r="G106" s="159"/>
      <c r="H106" s="23"/>
      <c r="I106" s="23"/>
      <c r="J106" s="23"/>
      <c r="K106" s="23"/>
      <c r="L106" s="23"/>
      <c r="M106" s="23"/>
      <c r="N106" s="23"/>
    </row>
    <row r="107" spans="1:14" ht="50.25" customHeight="1" x14ac:dyDescent="0.35">
      <c r="A107" s="868"/>
      <c r="B107" s="412"/>
      <c r="C107" s="404"/>
      <c r="D107" s="852"/>
      <c r="E107" s="418">
        <f>SUM(C106:C107)</f>
        <v>0</v>
      </c>
      <c r="F107" s="420" t="s">
        <v>757</v>
      </c>
      <c r="G107" s="159"/>
      <c r="H107" s="23"/>
      <c r="I107" s="23"/>
      <c r="J107" s="23"/>
      <c r="K107" s="23"/>
      <c r="L107" s="23"/>
      <c r="M107" s="23"/>
      <c r="N107" s="23"/>
    </row>
    <row r="108" spans="1:14" ht="29.25" customHeight="1" x14ac:dyDescent="0.35">
      <c r="A108" s="870" t="s">
        <v>760</v>
      </c>
      <c r="B108" s="412"/>
      <c r="C108" s="404"/>
      <c r="D108" s="852"/>
      <c r="E108" s="418"/>
      <c r="F108" s="420"/>
      <c r="G108" s="159"/>
      <c r="H108" s="23"/>
      <c r="I108" s="23"/>
      <c r="J108" s="23"/>
      <c r="K108" s="23"/>
      <c r="L108" s="23"/>
      <c r="M108" s="23"/>
      <c r="N108" s="23"/>
    </row>
    <row r="109" spans="1:14" ht="29.25" customHeight="1" x14ac:dyDescent="0.35">
      <c r="A109" s="871"/>
      <c r="B109" s="412"/>
      <c r="C109" s="404"/>
      <c r="D109" s="852"/>
      <c r="E109" s="418"/>
      <c r="F109" s="420"/>
      <c r="G109" s="159"/>
      <c r="H109" s="23"/>
      <c r="I109" s="23"/>
      <c r="J109" s="23"/>
      <c r="K109" s="23"/>
      <c r="L109" s="23"/>
      <c r="M109" s="23"/>
      <c r="N109" s="23"/>
    </row>
    <row r="110" spans="1:14" ht="47.25" customHeight="1" x14ac:dyDescent="0.35">
      <c r="A110" s="872"/>
      <c r="B110" s="412"/>
      <c r="C110" s="404"/>
      <c r="D110" s="852"/>
      <c r="E110" s="25">
        <f>+C111</f>
        <v>0</v>
      </c>
      <c r="F110" s="414" t="s">
        <v>758</v>
      </c>
      <c r="G110" s="159"/>
      <c r="H110" s="23"/>
      <c r="I110" s="23"/>
      <c r="J110" s="23"/>
      <c r="K110" s="23"/>
      <c r="L110" s="23"/>
      <c r="M110" s="23"/>
      <c r="N110" s="23"/>
    </row>
    <row r="111" spans="1:14" ht="23.25" x14ac:dyDescent="0.35">
      <c r="A111" s="900" t="s">
        <v>761</v>
      </c>
      <c r="B111" s="900"/>
      <c r="C111" s="469">
        <f>SUM(C106:C110)</f>
        <v>0</v>
      </c>
      <c r="D111" s="470"/>
      <c r="E111" s="25" t="s">
        <v>769</v>
      </c>
      <c r="F111" s="160"/>
      <c r="G111" s="23" t="s">
        <v>865</v>
      </c>
      <c r="H111" s="23" t="s">
        <v>866</v>
      </c>
      <c r="I111" s="23"/>
      <c r="J111" s="23"/>
      <c r="K111" s="23"/>
      <c r="L111" s="23"/>
      <c r="M111" s="23"/>
      <c r="N111" s="23"/>
    </row>
    <row r="112" spans="1:14" ht="23.25" x14ac:dyDescent="0.35">
      <c r="A112" s="862" t="s">
        <v>813</v>
      </c>
      <c r="B112" s="862"/>
      <c r="C112" s="471">
        <f>+C111+C104+C38+C24+C21</f>
        <v>1051968343</v>
      </c>
      <c r="D112" s="472"/>
      <c r="E112" s="25"/>
      <c r="F112" s="160"/>
      <c r="G112" s="698">
        <f>+E15+E24+E84</f>
        <v>163882653</v>
      </c>
      <c r="H112" s="698">
        <f>+E20+E32+E103</f>
        <v>888085690</v>
      </c>
      <c r="I112" s="23"/>
      <c r="J112" s="23"/>
      <c r="K112" s="23"/>
      <c r="L112" s="23"/>
      <c r="M112" s="23"/>
      <c r="N112" s="23"/>
    </row>
    <row r="113" spans="1:14" ht="23.25" x14ac:dyDescent="0.35">
      <c r="A113" s="476"/>
      <c r="B113" s="476"/>
      <c r="C113" s="477"/>
      <c r="D113" s="478"/>
      <c r="E113" s="25"/>
      <c r="F113" s="160"/>
      <c r="G113" s="25"/>
      <c r="H113" s="25"/>
      <c r="I113" s="23"/>
      <c r="J113" s="23"/>
      <c r="K113" s="23"/>
      <c r="L113" s="23"/>
      <c r="M113" s="23"/>
      <c r="N113" s="23"/>
    </row>
    <row r="114" spans="1:14" s="69" customFormat="1" ht="23.25" x14ac:dyDescent="0.35">
      <c r="A114" s="473"/>
      <c r="B114" s="474" t="s">
        <v>12</v>
      </c>
      <c r="C114" s="475"/>
      <c r="D114" s="473"/>
      <c r="E114" s="66"/>
      <c r="F114" s="23"/>
      <c r="G114" s="23"/>
      <c r="H114" s="514"/>
      <c r="I114" s="66"/>
      <c r="J114" s="66"/>
      <c r="K114" s="66"/>
      <c r="L114" s="66"/>
      <c r="M114" s="66"/>
      <c r="N114" s="66"/>
    </row>
    <row r="115" spans="1:14" ht="23.25" customHeight="1" x14ac:dyDescent="0.35">
      <c r="A115" s="883" t="s">
        <v>845</v>
      </c>
      <c r="B115" s="884"/>
      <c r="C115" s="885"/>
      <c r="D115" s="127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23.25" x14ac:dyDescent="0.35">
      <c r="A116" s="865" t="s">
        <v>55</v>
      </c>
      <c r="B116" s="500" t="s">
        <v>844</v>
      </c>
      <c r="C116" s="121">
        <f>628+170</f>
        <v>798</v>
      </c>
      <c r="D116" s="874" t="s">
        <v>950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23.25" x14ac:dyDescent="0.35">
      <c r="A117" s="865"/>
      <c r="B117" s="26" t="s">
        <v>675</v>
      </c>
      <c r="C117" s="252">
        <f>207085+55913+828341+223652</f>
        <v>1314991</v>
      </c>
      <c r="D117" s="875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23.25" x14ac:dyDescent="0.35">
      <c r="A118" s="865"/>
      <c r="B118" s="250" t="s">
        <v>671</v>
      </c>
      <c r="C118" s="395">
        <f>83956+15112+97202+13450+108971+28401+20400+5508</f>
        <v>373000</v>
      </c>
      <c r="D118" s="899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23.25" x14ac:dyDescent="0.35">
      <c r="A119" s="865"/>
      <c r="B119" s="250" t="s">
        <v>1069</v>
      </c>
      <c r="C119" s="395">
        <f>32000+8640</f>
        <v>40640</v>
      </c>
      <c r="D119" s="899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23.25" x14ac:dyDescent="0.35">
      <c r="A120" s="873"/>
      <c r="B120" s="250" t="s">
        <v>673</v>
      </c>
      <c r="C120" s="395">
        <f>59555+298+16160</f>
        <v>76013</v>
      </c>
      <c r="D120" s="899"/>
      <c r="E120" s="25" t="s">
        <v>770</v>
      </c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30" customHeight="1" x14ac:dyDescent="0.35">
      <c r="A121" s="856" t="s">
        <v>57</v>
      </c>
      <c r="B121" s="856"/>
      <c r="C121" s="119">
        <f>SUM(C116:C120)</f>
        <v>1805442</v>
      </c>
      <c r="D121" s="126"/>
      <c r="E121" s="25">
        <f>+C121</f>
        <v>1805442</v>
      </c>
      <c r="F121" s="23" t="s">
        <v>677</v>
      </c>
      <c r="G121" s="23"/>
      <c r="H121" s="23"/>
      <c r="I121" s="23"/>
      <c r="J121" s="23"/>
      <c r="K121" s="23"/>
      <c r="L121" s="23"/>
      <c r="M121" s="23"/>
      <c r="N121" s="23"/>
    </row>
    <row r="122" spans="1:14" ht="23.25" x14ac:dyDescent="0.35">
      <c r="A122" s="502"/>
      <c r="B122" s="135" t="s">
        <v>395</v>
      </c>
      <c r="C122" s="477"/>
      <c r="D122" s="405"/>
      <c r="E122" s="25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23.25" x14ac:dyDescent="0.35">
      <c r="A123" s="136"/>
      <c r="B123" s="135" t="s">
        <v>58</v>
      </c>
      <c r="C123" s="147">
        <v>0</v>
      </c>
      <c r="D123" s="126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23.25" x14ac:dyDescent="0.35">
      <c r="A124" s="853" t="s">
        <v>738</v>
      </c>
      <c r="B124" s="854"/>
      <c r="C124" s="855"/>
      <c r="D124" s="126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47.25" customHeight="1" x14ac:dyDescent="0.35">
      <c r="A125" s="865" t="s">
        <v>55</v>
      </c>
      <c r="B125" s="500" t="s">
        <v>671</v>
      </c>
      <c r="C125" s="497">
        <f>447968+120951+581680+103032+190027+39302+519778+129946+64033+11522</f>
        <v>2208239</v>
      </c>
      <c r="D125" s="859" t="s">
        <v>950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47.25" customHeight="1" x14ac:dyDescent="0.35">
      <c r="A126" s="863"/>
      <c r="B126" s="500" t="s">
        <v>674</v>
      </c>
      <c r="C126" s="699">
        <f>35000+35000</f>
        <v>70000</v>
      </c>
      <c r="D126" s="860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47.25" customHeight="1" x14ac:dyDescent="0.35">
      <c r="A127" s="863"/>
      <c r="B127" s="500" t="s">
        <v>1070</v>
      </c>
      <c r="C127" s="699">
        <f>7337+1981+13174+3557</f>
        <v>26049</v>
      </c>
      <c r="D127" s="860"/>
      <c r="E127" s="23" t="s">
        <v>847</v>
      </c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47.25" customHeight="1" x14ac:dyDescent="0.35">
      <c r="A128" s="865"/>
      <c r="B128" s="250" t="s">
        <v>733</v>
      </c>
      <c r="C128" s="497">
        <f>11200+3024+14000+3780+2800+756</f>
        <v>35560</v>
      </c>
      <c r="D128" s="860"/>
      <c r="E128" s="25">
        <f>SUM(C125:C128)</f>
        <v>2339848</v>
      </c>
      <c r="F128" s="23" t="s">
        <v>677</v>
      </c>
      <c r="G128" s="23"/>
      <c r="H128" s="23"/>
      <c r="I128" s="23"/>
      <c r="J128" s="23"/>
      <c r="K128" s="23"/>
      <c r="L128" s="23"/>
      <c r="M128" s="23"/>
      <c r="N128" s="23"/>
    </row>
    <row r="129" spans="1:14" ht="47.25" customHeight="1" x14ac:dyDescent="0.35">
      <c r="A129" s="869" t="s">
        <v>760</v>
      </c>
      <c r="B129" s="656" t="s">
        <v>1071</v>
      </c>
      <c r="C129" s="699">
        <v>20890</v>
      </c>
      <c r="D129" s="860"/>
      <c r="E129" s="23" t="s">
        <v>847</v>
      </c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47.25" customHeight="1" x14ac:dyDescent="0.35">
      <c r="A130" s="869"/>
      <c r="B130" s="656"/>
      <c r="C130" s="699"/>
      <c r="D130" s="861"/>
      <c r="E130" s="25">
        <f>+C129+C130</f>
        <v>20890</v>
      </c>
      <c r="F130" s="23" t="s">
        <v>678</v>
      </c>
      <c r="G130" s="23"/>
      <c r="H130" s="23"/>
      <c r="I130" s="23"/>
      <c r="J130" s="23"/>
      <c r="K130" s="23"/>
      <c r="L130" s="23"/>
      <c r="M130" s="23"/>
      <c r="N130" s="23"/>
    </row>
    <row r="131" spans="1:14" ht="29.25" customHeight="1" x14ac:dyDescent="0.35">
      <c r="A131" s="856" t="s">
        <v>740</v>
      </c>
      <c r="B131" s="856"/>
      <c r="C131" s="477">
        <f>SUM(C125:C130)</f>
        <v>2360738</v>
      </c>
      <c r="D131" s="405"/>
      <c r="G131" s="23"/>
      <c r="H131" s="23"/>
      <c r="I131" s="23"/>
      <c r="J131" s="23"/>
      <c r="K131" s="23"/>
      <c r="L131" s="23"/>
      <c r="M131" s="23"/>
      <c r="N131" s="23"/>
    </row>
    <row r="132" spans="1:14" ht="23.25" x14ac:dyDescent="0.35">
      <c r="A132" s="862" t="s">
        <v>814</v>
      </c>
      <c r="B132" s="862"/>
      <c r="C132" s="471">
        <f>+C121+C131+C123</f>
        <v>4166180</v>
      </c>
      <c r="D132" s="454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23.25" x14ac:dyDescent="0.35">
      <c r="A133" s="479"/>
      <c r="B133" s="478"/>
      <c r="C133" s="478"/>
      <c r="D133" s="478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s="69" customFormat="1" ht="23.25" x14ac:dyDescent="0.35">
      <c r="A134" s="66"/>
      <c r="B134" s="67" t="s">
        <v>13</v>
      </c>
      <c r="C134" s="68"/>
      <c r="D134" s="139"/>
      <c r="E134" s="66"/>
      <c r="F134" s="23"/>
      <c r="G134" s="23"/>
      <c r="H134" s="66"/>
      <c r="I134" s="66"/>
      <c r="J134" s="66"/>
      <c r="K134" s="66"/>
      <c r="L134" s="66"/>
      <c r="M134" s="66"/>
      <c r="N134" s="66"/>
    </row>
    <row r="135" spans="1:14" ht="23.25" x14ac:dyDescent="0.35">
      <c r="A135" s="127"/>
      <c r="B135" s="153" t="s">
        <v>52</v>
      </c>
      <c r="C135" s="154"/>
      <c r="D135" s="127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23.25" x14ac:dyDescent="0.35">
      <c r="A136" s="857" t="s">
        <v>55</v>
      </c>
      <c r="B136" s="70" t="s">
        <v>735</v>
      </c>
      <c r="C136" s="121">
        <v>28570</v>
      </c>
      <c r="D136" s="874" t="s">
        <v>950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23.25" x14ac:dyDescent="0.35">
      <c r="A137" s="857"/>
      <c r="B137" s="29" t="s">
        <v>673</v>
      </c>
      <c r="C137" s="121">
        <v>200210</v>
      </c>
      <c r="D137" s="875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23.25" x14ac:dyDescent="0.35">
      <c r="A138" s="857"/>
      <c r="B138" s="29" t="s">
        <v>743</v>
      </c>
      <c r="C138" s="121">
        <v>1855371</v>
      </c>
      <c r="D138" s="875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23.25" x14ac:dyDescent="0.35">
      <c r="A139" s="857"/>
      <c r="B139" s="29" t="s">
        <v>741</v>
      </c>
      <c r="C139" s="121">
        <v>311176</v>
      </c>
      <c r="D139" s="875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23.25" x14ac:dyDescent="0.35">
      <c r="A140" s="857"/>
      <c r="B140" s="29" t="s">
        <v>675</v>
      </c>
      <c r="C140" s="121">
        <v>3256592</v>
      </c>
      <c r="D140" s="875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23.25" x14ac:dyDescent="0.35">
      <c r="A141" s="857"/>
      <c r="B141" s="29" t="s">
        <v>1073</v>
      </c>
      <c r="C141" s="121">
        <v>3000</v>
      </c>
      <c r="D141" s="875"/>
      <c r="E141" s="27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23.25" x14ac:dyDescent="0.35">
      <c r="A142" s="857"/>
      <c r="B142" s="259" t="s">
        <v>671</v>
      </c>
      <c r="C142" s="121">
        <f>123006+47317</f>
        <v>170323</v>
      </c>
      <c r="D142" s="875"/>
      <c r="E142" s="27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23.25" x14ac:dyDescent="0.35">
      <c r="A143" s="857"/>
      <c r="B143" s="29" t="s">
        <v>736</v>
      </c>
      <c r="C143" s="121">
        <v>28806</v>
      </c>
      <c r="D143" s="875"/>
      <c r="E143" s="27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23.25" x14ac:dyDescent="0.35">
      <c r="A144" s="857"/>
      <c r="B144" s="29" t="s">
        <v>858</v>
      </c>
      <c r="C144" s="121">
        <v>120650</v>
      </c>
      <c r="D144" s="875"/>
      <c r="E144" s="27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23.25" x14ac:dyDescent="0.35">
      <c r="A145" s="858"/>
      <c r="B145" s="394" t="s">
        <v>672</v>
      </c>
      <c r="C145" s="395">
        <v>11825</v>
      </c>
      <c r="D145" s="875"/>
      <c r="E145" s="27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23.25" x14ac:dyDescent="0.35">
      <c r="A146" s="858"/>
      <c r="B146" s="394" t="s">
        <v>1075</v>
      </c>
      <c r="C146" s="395">
        <v>137389</v>
      </c>
      <c r="D146" s="875"/>
      <c r="E146" s="27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23.25" x14ac:dyDescent="0.35">
      <c r="A147" s="858"/>
      <c r="B147" s="394" t="s">
        <v>731</v>
      </c>
      <c r="C147" s="395">
        <v>66040</v>
      </c>
      <c r="D147" s="875"/>
      <c r="E147" s="27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23.25" x14ac:dyDescent="0.35">
      <c r="A148" s="858"/>
      <c r="B148" s="394" t="s">
        <v>744</v>
      </c>
      <c r="C148" s="395">
        <v>24741755</v>
      </c>
      <c r="D148" s="875"/>
      <c r="E148" s="27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23.25" x14ac:dyDescent="0.35">
      <c r="A149" s="858"/>
      <c r="B149" s="394" t="s">
        <v>1074</v>
      </c>
      <c r="C149" s="395">
        <v>27733</v>
      </c>
      <c r="D149" s="875"/>
      <c r="E149" s="27" t="s">
        <v>859</v>
      </c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23.25" x14ac:dyDescent="0.35">
      <c r="A150" s="856" t="s">
        <v>57</v>
      </c>
      <c r="B150" s="856"/>
      <c r="C150" s="119">
        <f>SUM(C136:C149)</f>
        <v>30959440</v>
      </c>
      <c r="D150" s="126"/>
      <c r="E150" s="25">
        <f>+C150</f>
        <v>30959440</v>
      </c>
      <c r="F150" s="23" t="s">
        <v>757</v>
      </c>
      <c r="G150" s="23"/>
      <c r="H150" s="23"/>
      <c r="I150" s="23"/>
      <c r="J150" s="23"/>
      <c r="K150" s="23"/>
      <c r="L150" s="23"/>
      <c r="M150" s="23"/>
      <c r="N150" s="23"/>
    </row>
    <row r="151" spans="1:14" ht="23.25" x14ac:dyDescent="0.35">
      <c r="A151" s="133"/>
      <c r="B151" s="135" t="s">
        <v>395</v>
      </c>
      <c r="C151" s="148">
        <v>0</v>
      </c>
      <c r="D151" s="128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23.25" x14ac:dyDescent="0.35">
      <c r="A152" s="136"/>
      <c r="B152" s="135" t="s">
        <v>58</v>
      </c>
      <c r="C152" s="148">
        <v>0</v>
      </c>
      <c r="D152" s="125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23.25" x14ac:dyDescent="0.35">
      <c r="A153" s="853" t="s">
        <v>738</v>
      </c>
      <c r="B153" s="854"/>
      <c r="C153" s="855"/>
      <c r="D153" s="128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23.25" x14ac:dyDescent="0.35">
      <c r="A154" s="866" t="s">
        <v>55</v>
      </c>
      <c r="B154" s="394" t="s">
        <v>731</v>
      </c>
      <c r="C154" s="400">
        <v>330200</v>
      </c>
      <c r="D154" s="889" t="s">
        <v>950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23.25" x14ac:dyDescent="0.35">
      <c r="A155" s="867"/>
      <c r="B155" s="700" t="s">
        <v>1076</v>
      </c>
      <c r="C155" s="696">
        <v>181500</v>
      </c>
      <c r="D155" s="890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46.5" x14ac:dyDescent="0.35">
      <c r="A156" s="867"/>
      <c r="B156" s="697" t="s">
        <v>1077</v>
      </c>
      <c r="C156" s="696">
        <v>2460011</v>
      </c>
      <c r="D156" s="890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23.25" x14ac:dyDescent="0.35">
      <c r="A157" s="867"/>
      <c r="B157" s="697" t="s">
        <v>1078</v>
      </c>
      <c r="C157" s="696">
        <v>159700</v>
      </c>
      <c r="D157" s="890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23.25" x14ac:dyDescent="0.35">
      <c r="A158" s="867"/>
      <c r="B158" s="700" t="s">
        <v>1079</v>
      </c>
      <c r="C158" s="696">
        <v>120000</v>
      </c>
      <c r="D158" s="890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23.25" x14ac:dyDescent="0.35">
      <c r="A159" s="867"/>
      <c r="B159" s="700" t="s">
        <v>1081</v>
      </c>
      <c r="C159" s="696">
        <v>250000</v>
      </c>
      <c r="D159" s="890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23.25" x14ac:dyDescent="0.35">
      <c r="A160" s="867"/>
      <c r="B160" s="700" t="s">
        <v>1082</v>
      </c>
      <c r="C160" s="696">
        <v>229561</v>
      </c>
      <c r="D160" s="890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23.25" x14ac:dyDescent="0.35">
      <c r="A161" s="867"/>
      <c r="B161" s="394" t="s">
        <v>744</v>
      </c>
      <c r="C161" s="696">
        <v>6317530</v>
      </c>
      <c r="D161" s="890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23.25" x14ac:dyDescent="0.35">
      <c r="A162" s="867"/>
      <c r="B162" s="29" t="s">
        <v>743</v>
      </c>
      <c r="C162" s="404">
        <v>1739203</v>
      </c>
      <c r="D162" s="890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23.25" x14ac:dyDescent="0.35">
      <c r="A163" s="867"/>
      <c r="B163" s="29" t="s">
        <v>1080</v>
      </c>
      <c r="C163" s="404">
        <v>63999</v>
      </c>
      <c r="D163" s="890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23.25" x14ac:dyDescent="0.35">
      <c r="A164" s="867"/>
      <c r="B164" s="403" t="s">
        <v>745</v>
      </c>
      <c r="C164" s="404">
        <v>69665</v>
      </c>
      <c r="D164" s="890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23.25" x14ac:dyDescent="0.35">
      <c r="A165" s="867"/>
      <c r="B165" s="403" t="s">
        <v>860</v>
      </c>
      <c r="C165" s="404">
        <f>67111+90000</f>
        <v>157111</v>
      </c>
      <c r="D165" s="890"/>
      <c r="E165" s="23" t="s">
        <v>861</v>
      </c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23.25" x14ac:dyDescent="0.35">
      <c r="A166" s="856" t="s">
        <v>740</v>
      </c>
      <c r="B166" s="856"/>
      <c r="C166" s="402">
        <f>SUM(C154:C165)</f>
        <v>12078480</v>
      </c>
      <c r="D166" s="401"/>
      <c r="E166" s="25">
        <f>+C166</f>
        <v>12078480</v>
      </c>
      <c r="F166" s="23" t="s">
        <v>757</v>
      </c>
      <c r="G166" s="23"/>
      <c r="H166" s="23"/>
      <c r="I166" s="23"/>
      <c r="J166" s="23"/>
      <c r="K166" s="23"/>
      <c r="L166" s="23"/>
      <c r="M166" s="23"/>
      <c r="N166" s="23"/>
    </row>
    <row r="167" spans="1:14" ht="23.25" x14ac:dyDescent="0.35">
      <c r="A167" s="862" t="s">
        <v>815</v>
      </c>
      <c r="B167" s="862"/>
      <c r="C167" s="480">
        <f>+C150+C151+C152+C166</f>
        <v>43037920</v>
      </c>
      <c r="D167" s="481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23.25" x14ac:dyDescent="0.35">
      <c r="A168" s="476"/>
      <c r="B168" s="476"/>
      <c r="C168" s="482"/>
      <c r="D168" s="479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s="69" customFormat="1" ht="23.25" x14ac:dyDescent="0.35">
      <c r="A169" s="66"/>
      <c r="B169" s="67" t="s">
        <v>14</v>
      </c>
      <c r="C169" s="68"/>
      <c r="D169" s="140"/>
      <c r="E169" s="66"/>
      <c r="F169" s="23"/>
      <c r="G169" s="23"/>
      <c r="H169" s="66"/>
      <c r="I169" s="66"/>
      <c r="J169" s="66"/>
      <c r="K169" s="66"/>
      <c r="L169" s="66"/>
      <c r="M169" s="66"/>
      <c r="N169" s="66"/>
    </row>
    <row r="170" spans="1:14" ht="23.25" x14ac:dyDescent="0.35">
      <c r="A170" s="127"/>
      <c r="B170" s="153" t="s">
        <v>52</v>
      </c>
      <c r="C170" s="155"/>
      <c r="D170" s="155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23.25" x14ac:dyDescent="0.35">
      <c r="A171" s="866" t="s">
        <v>55</v>
      </c>
      <c r="B171" s="29" t="s">
        <v>1072</v>
      </c>
      <c r="C171" s="121">
        <v>182880</v>
      </c>
      <c r="D171" s="889" t="s">
        <v>950</v>
      </c>
      <c r="E171" s="23"/>
      <c r="F171" s="66"/>
      <c r="G171" s="66"/>
      <c r="H171" s="23"/>
      <c r="I171" s="23"/>
      <c r="J171" s="23"/>
      <c r="K171" s="23"/>
      <c r="L171" s="23"/>
      <c r="M171" s="23"/>
      <c r="N171" s="23"/>
    </row>
    <row r="172" spans="1:14" ht="23.25" x14ac:dyDescent="0.35">
      <c r="A172" s="867"/>
      <c r="B172" s="29" t="s">
        <v>731</v>
      </c>
      <c r="C172" s="121">
        <v>35560</v>
      </c>
      <c r="D172" s="890"/>
      <c r="E172" s="25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23.25" x14ac:dyDescent="0.35">
      <c r="A173" s="867"/>
      <c r="B173" s="29" t="s">
        <v>735</v>
      </c>
      <c r="C173" s="121">
        <v>8715</v>
      </c>
      <c r="D173" s="890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23.25" x14ac:dyDescent="0.35">
      <c r="A174" s="876"/>
      <c r="B174" s="394" t="s">
        <v>737</v>
      </c>
      <c r="C174" s="395">
        <f>194462+67414</f>
        <v>261876</v>
      </c>
      <c r="D174" s="880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23.25" x14ac:dyDescent="0.35">
      <c r="A175" s="876"/>
      <c r="B175" s="394" t="s">
        <v>675</v>
      </c>
      <c r="C175" s="395">
        <v>3131787</v>
      </c>
      <c r="D175" s="880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23.25" x14ac:dyDescent="0.35">
      <c r="A176" s="867"/>
      <c r="B176" s="29" t="s">
        <v>734</v>
      </c>
      <c r="C176" s="121">
        <f>146314+5733</f>
        <v>152047</v>
      </c>
      <c r="D176" s="890"/>
      <c r="E176" s="25" t="s">
        <v>771</v>
      </c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23.25" x14ac:dyDescent="0.35">
      <c r="A177" s="856" t="s">
        <v>57</v>
      </c>
      <c r="B177" s="856"/>
      <c r="C177" s="119">
        <f>SUM(C171:C176)</f>
        <v>3772865</v>
      </c>
      <c r="D177" s="126"/>
      <c r="E177" s="25">
        <f>+C177</f>
        <v>3772865</v>
      </c>
      <c r="F177" s="23" t="s">
        <v>757</v>
      </c>
      <c r="G177" s="23"/>
      <c r="H177" s="23"/>
      <c r="I177" s="23"/>
      <c r="J177" s="23"/>
      <c r="K177" s="23"/>
      <c r="L177" s="23"/>
      <c r="M177" s="23"/>
      <c r="N177" s="23"/>
    </row>
    <row r="178" spans="1:14" ht="23.25" x14ac:dyDescent="0.35">
      <c r="A178" s="394"/>
      <c r="B178" s="135" t="s">
        <v>395</v>
      </c>
      <c r="C178" s="149">
        <v>0</v>
      </c>
      <c r="D178" s="129"/>
      <c r="E178" s="23"/>
      <c r="F178" s="66"/>
      <c r="G178" s="66"/>
      <c r="H178" s="23"/>
      <c r="I178" s="23"/>
      <c r="J178" s="23"/>
      <c r="K178" s="23"/>
      <c r="L178" s="23"/>
      <c r="M178" s="23"/>
      <c r="N178" s="23"/>
    </row>
    <row r="179" spans="1:14" ht="23.25" x14ac:dyDescent="0.35">
      <c r="A179" s="394"/>
      <c r="B179" s="135" t="s">
        <v>58</v>
      </c>
      <c r="C179" s="398"/>
      <c r="D179" s="399"/>
      <c r="E179" s="23"/>
      <c r="F179" s="66"/>
      <c r="G179" s="66"/>
      <c r="H179" s="23"/>
      <c r="I179" s="23"/>
      <c r="J179" s="23"/>
      <c r="K179" s="23"/>
      <c r="L179" s="23"/>
      <c r="M179" s="23"/>
      <c r="N179" s="23"/>
    </row>
    <row r="180" spans="1:14" ht="23.25" x14ac:dyDescent="0.35">
      <c r="A180" s="853" t="s">
        <v>738</v>
      </c>
      <c r="B180" s="854"/>
      <c r="C180" s="855"/>
      <c r="D180" s="128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93" x14ac:dyDescent="0.35">
      <c r="A181" s="499" t="s">
        <v>55</v>
      </c>
      <c r="B181" s="394"/>
      <c r="C181" s="400"/>
      <c r="D181" s="498" t="s">
        <v>950</v>
      </c>
      <c r="E181" s="23" t="s">
        <v>852</v>
      </c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23.25" x14ac:dyDescent="0.35">
      <c r="A182" s="856" t="s">
        <v>740</v>
      </c>
      <c r="B182" s="856"/>
      <c r="C182" s="402">
        <f>SUM(C181:C181)</f>
        <v>0</v>
      </c>
      <c r="D182" s="401"/>
      <c r="E182" s="25">
        <f>+C182</f>
        <v>0</v>
      </c>
      <c r="F182" s="23" t="s">
        <v>757</v>
      </c>
      <c r="G182" s="23"/>
      <c r="H182" s="23"/>
      <c r="I182" s="23"/>
      <c r="J182" s="23"/>
      <c r="K182" s="23"/>
      <c r="L182" s="23"/>
      <c r="M182" s="23"/>
      <c r="N182" s="23"/>
    </row>
    <row r="183" spans="1:14" ht="23.25" x14ac:dyDescent="0.35">
      <c r="A183" s="862" t="s">
        <v>816</v>
      </c>
      <c r="B183" s="862"/>
      <c r="C183" s="483">
        <f>+C177+C178+C179+C182</f>
        <v>3772865</v>
      </c>
      <c r="D183" s="484"/>
      <c r="E183" s="25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23.25" x14ac:dyDescent="0.35">
      <c r="A184" s="479"/>
      <c r="B184" s="479"/>
      <c r="C184" s="482"/>
      <c r="D184" s="479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s="69" customFormat="1" ht="23.25" x14ac:dyDescent="0.35">
      <c r="A185" s="66"/>
      <c r="B185" s="67" t="s">
        <v>11</v>
      </c>
      <c r="C185" s="68"/>
      <c r="D185" s="140"/>
      <c r="E185" s="66"/>
      <c r="F185" s="23"/>
      <c r="G185" s="23"/>
      <c r="H185" s="66"/>
      <c r="I185" s="66"/>
      <c r="J185" s="66"/>
      <c r="K185" s="66"/>
      <c r="L185" s="66"/>
      <c r="M185" s="66"/>
      <c r="N185" s="66"/>
    </row>
    <row r="186" spans="1:14" ht="23.25" x14ac:dyDescent="0.35">
      <c r="A186" s="127"/>
      <c r="B186" s="153" t="s">
        <v>52</v>
      </c>
      <c r="C186" s="154"/>
      <c r="D186" s="127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23.25" x14ac:dyDescent="0.35">
      <c r="A187" s="877" t="s">
        <v>55</v>
      </c>
      <c r="B187" s="29" t="s">
        <v>1083</v>
      </c>
      <c r="C187" s="121">
        <f>350000+94500</f>
        <v>444500</v>
      </c>
      <c r="D187" s="874" t="s">
        <v>950</v>
      </c>
      <c r="E187" s="27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23.25" x14ac:dyDescent="0.35">
      <c r="A188" s="878"/>
      <c r="B188" s="394" t="s">
        <v>672</v>
      </c>
      <c r="C188" s="395">
        <f>21144+410881+24510</f>
        <v>456535</v>
      </c>
      <c r="D188" s="899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23.25" x14ac:dyDescent="0.35">
      <c r="A189" s="878"/>
      <c r="B189" s="394" t="s">
        <v>735</v>
      </c>
      <c r="C189" s="395">
        <v>6000</v>
      </c>
      <c r="D189" s="899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23.25" x14ac:dyDescent="0.35">
      <c r="A190" s="878"/>
      <c r="B190" s="394" t="s">
        <v>1084</v>
      </c>
      <c r="C190" s="395">
        <f>1459+394</f>
        <v>1853</v>
      </c>
      <c r="D190" s="899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23.25" x14ac:dyDescent="0.35">
      <c r="A191" s="878"/>
      <c r="B191" s="394" t="s">
        <v>673</v>
      </c>
      <c r="C191" s="395">
        <f>90659+62819</f>
        <v>153478</v>
      </c>
      <c r="D191" s="899"/>
      <c r="E191" s="23" t="s">
        <v>772</v>
      </c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23.25" x14ac:dyDescent="0.35">
      <c r="A192" s="856" t="s">
        <v>57</v>
      </c>
      <c r="B192" s="856"/>
      <c r="C192" s="119">
        <f>SUM(C187:C191)</f>
        <v>1062366</v>
      </c>
      <c r="D192" s="126"/>
      <c r="E192" s="25">
        <f>+C192</f>
        <v>1062366</v>
      </c>
      <c r="F192" s="23" t="s">
        <v>757</v>
      </c>
      <c r="G192" s="23"/>
      <c r="H192" s="23"/>
      <c r="I192" s="23"/>
      <c r="J192" s="23"/>
      <c r="K192" s="23"/>
      <c r="L192" s="23"/>
      <c r="M192" s="23"/>
      <c r="N192" s="23"/>
    </row>
    <row r="193" spans="1:14" ht="23.25" x14ac:dyDescent="0.35">
      <c r="A193" s="133"/>
      <c r="B193" s="28" t="s">
        <v>395</v>
      </c>
      <c r="C193" s="150">
        <v>0</v>
      </c>
      <c r="D193" s="128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23.25" x14ac:dyDescent="0.35">
      <c r="A194" s="136"/>
      <c r="B194" s="28" t="s">
        <v>58</v>
      </c>
      <c r="C194" s="150">
        <v>0</v>
      </c>
      <c r="D194" s="125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23.25" x14ac:dyDescent="0.35">
      <c r="A195" s="853" t="s">
        <v>738</v>
      </c>
      <c r="B195" s="854"/>
      <c r="C195" s="855"/>
      <c r="D195" s="507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23.25" customHeight="1" x14ac:dyDescent="0.35">
      <c r="A196" s="877" t="s">
        <v>55</v>
      </c>
      <c r="B196" s="394" t="s">
        <v>674</v>
      </c>
      <c r="C196" s="506">
        <v>1117737</v>
      </c>
      <c r="D196" s="916" t="s">
        <v>950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23.25" x14ac:dyDescent="0.35">
      <c r="A197" s="878"/>
      <c r="B197" s="394" t="s">
        <v>732</v>
      </c>
      <c r="C197" s="506">
        <v>130000</v>
      </c>
      <c r="D197" s="875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23.25" x14ac:dyDescent="0.35">
      <c r="A198" s="869"/>
      <c r="B198" s="700" t="s">
        <v>1088</v>
      </c>
      <c r="C198" s="506">
        <v>1920000</v>
      </c>
      <c r="D198" s="875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23.25" x14ac:dyDescent="0.35">
      <c r="A199" s="878"/>
      <c r="B199" s="394" t="s">
        <v>731</v>
      </c>
      <c r="C199" s="506">
        <f>45568+20472</f>
        <v>66040</v>
      </c>
      <c r="D199" s="875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23.25" x14ac:dyDescent="0.35">
      <c r="A200" s="878"/>
      <c r="B200" s="394" t="s">
        <v>1086</v>
      </c>
      <c r="C200" s="506">
        <v>159000</v>
      </c>
      <c r="D200" s="875"/>
      <c r="E200" s="23" t="s">
        <v>854</v>
      </c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23.25" x14ac:dyDescent="0.35">
      <c r="A201" s="878"/>
      <c r="B201" s="394" t="s">
        <v>853</v>
      </c>
      <c r="C201" s="506">
        <v>114300</v>
      </c>
      <c r="D201" s="875"/>
      <c r="E201" s="25">
        <f>SUM(C196:C201)</f>
        <v>3507077</v>
      </c>
      <c r="F201" s="23" t="s">
        <v>757</v>
      </c>
      <c r="G201" s="23"/>
      <c r="H201" s="23"/>
      <c r="I201" s="23"/>
      <c r="J201" s="23"/>
      <c r="K201" s="23"/>
      <c r="L201" s="23"/>
      <c r="M201" s="23"/>
      <c r="N201" s="23"/>
    </row>
    <row r="202" spans="1:14" ht="53.25" customHeight="1" x14ac:dyDescent="0.35">
      <c r="A202" s="869" t="s">
        <v>760</v>
      </c>
      <c r="B202" s="700" t="s">
        <v>1085</v>
      </c>
      <c r="C202" s="506">
        <v>609600</v>
      </c>
      <c r="D202" s="875"/>
      <c r="E202" s="23" t="s">
        <v>854</v>
      </c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53.25" customHeight="1" x14ac:dyDescent="0.35">
      <c r="A203" s="869"/>
      <c r="B203" s="700" t="s">
        <v>1087</v>
      </c>
      <c r="C203" s="506">
        <v>14962632</v>
      </c>
      <c r="D203" s="914"/>
      <c r="E203" s="25">
        <f>SUM(C202:C203)</f>
        <v>15572232</v>
      </c>
      <c r="F203" s="23" t="s">
        <v>758</v>
      </c>
      <c r="G203" s="23"/>
      <c r="H203" s="23"/>
      <c r="I203" s="23"/>
      <c r="J203" s="23"/>
      <c r="K203" s="23"/>
      <c r="L203" s="23"/>
      <c r="M203" s="23"/>
      <c r="N203" s="23"/>
    </row>
    <row r="204" spans="1:14" ht="23.25" x14ac:dyDescent="0.35">
      <c r="A204" s="856" t="s">
        <v>740</v>
      </c>
      <c r="B204" s="856"/>
      <c r="C204" s="508">
        <f>SUM(C196:C203)</f>
        <v>19079309</v>
      </c>
      <c r="D204" s="507"/>
      <c r="G204" s="23"/>
      <c r="H204" s="23"/>
      <c r="I204" s="23"/>
      <c r="J204" s="23"/>
      <c r="K204" s="23"/>
      <c r="L204" s="23"/>
      <c r="M204" s="23"/>
      <c r="N204" s="23"/>
    </row>
    <row r="205" spans="1:14" ht="23.25" x14ac:dyDescent="0.35">
      <c r="A205" s="862" t="s">
        <v>817</v>
      </c>
      <c r="B205" s="862"/>
      <c r="C205" s="483">
        <f>+C192+C204</f>
        <v>20141675</v>
      </c>
      <c r="D205" s="472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23.25" x14ac:dyDescent="0.35">
      <c r="A206" s="479"/>
      <c r="B206" s="479"/>
      <c r="C206" s="482"/>
      <c r="D206" s="479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s="69" customFormat="1" ht="23.25" x14ac:dyDescent="0.35">
      <c r="A207" s="66"/>
      <c r="B207" s="67" t="s">
        <v>15</v>
      </c>
      <c r="C207" s="68"/>
      <c r="D207" s="140"/>
      <c r="E207" s="66"/>
      <c r="F207" s="23"/>
      <c r="G207" s="23"/>
      <c r="H207" s="66"/>
      <c r="I207" s="66"/>
      <c r="J207" s="66"/>
      <c r="K207" s="66"/>
      <c r="L207" s="66"/>
      <c r="M207" s="66"/>
      <c r="N207" s="66"/>
    </row>
    <row r="208" spans="1:14" ht="23.25" x14ac:dyDescent="0.35">
      <c r="A208" s="127"/>
      <c r="B208" s="135" t="s">
        <v>52</v>
      </c>
      <c r="C208" s="128"/>
      <c r="D208" s="130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35.25" customHeight="1" x14ac:dyDescent="0.35">
      <c r="A209" s="877" t="s">
        <v>55</v>
      </c>
      <c r="B209" s="29" t="s">
        <v>1070</v>
      </c>
      <c r="C209" s="256">
        <v>9094</v>
      </c>
      <c r="D209" s="874" t="s">
        <v>950</v>
      </c>
      <c r="E209" s="25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35.25" customHeight="1" x14ac:dyDescent="0.35">
      <c r="A210" s="877"/>
      <c r="B210" s="29" t="s">
        <v>675</v>
      </c>
      <c r="C210" s="256">
        <v>5102752</v>
      </c>
      <c r="D210" s="875"/>
      <c r="E210" s="332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35.25" customHeight="1" x14ac:dyDescent="0.35">
      <c r="A211" s="877"/>
      <c r="B211" s="29" t="s">
        <v>735</v>
      </c>
      <c r="C211" s="256">
        <v>6000</v>
      </c>
      <c r="D211" s="875"/>
      <c r="E211" s="25" t="s">
        <v>773</v>
      </c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23.25" x14ac:dyDescent="0.35">
      <c r="A212" s="915" t="s">
        <v>57</v>
      </c>
      <c r="B212" s="915"/>
      <c r="C212" s="254">
        <f>SUM(C209:C211)</f>
        <v>5117846</v>
      </c>
      <c r="D212" s="255"/>
      <c r="E212" s="25">
        <f>+C212</f>
        <v>5117846</v>
      </c>
      <c r="F212" s="23" t="s">
        <v>757</v>
      </c>
      <c r="G212" s="23"/>
      <c r="H212" s="23"/>
      <c r="I212" s="23"/>
      <c r="J212" s="23"/>
      <c r="K212" s="23"/>
      <c r="L212" s="23"/>
      <c r="M212" s="23"/>
      <c r="N212" s="23"/>
    </row>
    <row r="213" spans="1:14" ht="23.25" x14ac:dyDescent="0.35">
      <c r="A213" s="133"/>
      <c r="B213" s="135" t="s">
        <v>395</v>
      </c>
      <c r="C213" s="151">
        <v>0</v>
      </c>
      <c r="D213" s="130"/>
      <c r="E213" s="23"/>
      <c r="F213" s="23"/>
      <c r="G213" s="23"/>
      <c r="H213" s="23"/>
      <c r="I213" s="23"/>
      <c r="J213" s="23"/>
      <c r="K213" s="23"/>
      <c r="L213" s="23"/>
      <c r="M213" s="23"/>
      <c r="N213" s="23">
        <f>172940*1.27</f>
        <v>219633.80000000002</v>
      </c>
    </row>
    <row r="214" spans="1:14" ht="23.25" x14ac:dyDescent="0.35">
      <c r="A214" s="136"/>
      <c r="B214" s="135" t="s">
        <v>58</v>
      </c>
      <c r="C214" s="151">
        <v>0</v>
      </c>
      <c r="D214" s="130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23.25" x14ac:dyDescent="0.35">
      <c r="A215" s="853" t="s">
        <v>738</v>
      </c>
      <c r="B215" s="854"/>
      <c r="C215" s="855"/>
      <c r="D215" s="50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47.25" customHeight="1" x14ac:dyDescent="0.35">
      <c r="A216" s="917" t="s">
        <v>55</v>
      </c>
      <c r="B216" s="394" t="s">
        <v>674</v>
      </c>
      <c r="C216" s="256">
        <v>70000</v>
      </c>
      <c r="D216" s="916" t="s">
        <v>950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47.25" customHeight="1" x14ac:dyDescent="0.35">
      <c r="A217" s="918"/>
      <c r="B217" s="29" t="s">
        <v>849</v>
      </c>
      <c r="C217" s="256">
        <v>35560</v>
      </c>
      <c r="D217" s="914"/>
      <c r="E217" s="25" t="s">
        <v>850</v>
      </c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23.25" x14ac:dyDescent="0.35">
      <c r="A218" s="856" t="s">
        <v>740</v>
      </c>
      <c r="B218" s="856"/>
      <c r="C218" s="254">
        <f>SUM(C216:C217)</f>
        <v>105560</v>
      </c>
      <c r="D218" s="504"/>
      <c r="E218" s="25">
        <f>SUM(C216:C217)</f>
        <v>105560</v>
      </c>
      <c r="F218" s="23" t="s">
        <v>757</v>
      </c>
      <c r="G218" s="23"/>
      <c r="H218" s="23"/>
      <c r="I218" s="23"/>
      <c r="J218" s="23"/>
      <c r="K218" s="23"/>
      <c r="L218" s="23"/>
      <c r="M218" s="23"/>
      <c r="N218" s="23"/>
    </row>
    <row r="219" spans="1:14" ht="23.25" x14ac:dyDescent="0.35">
      <c r="A219" s="862" t="s">
        <v>818</v>
      </c>
      <c r="B219" s="862"/>
      <c r="C219" s="483">
        <f>+C212+C218</f>
        <v>5223406</v>
      </c>
      <c r="D219" s="504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ht="23.25" x14ac:dyDescent="0.35">
      <c r="A220" s="479"/>
      <c r="B220" s="479"/>
      <c r="C220" s="482"/>
      <c r="D220" s="479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s="69" customFormat="1" ht="23.25" x14ac:dyDescent="0.35">
      <c r="A221" s="66"/>
      <c r="B221" s="67" t="s">
        <v>38</v>
      </c>
      <c r="C221" s="68"/>
      <c r="D221" s="139"/>
      <c r="E221" s="66"/>
      <c r="F221" s="23"/>
      <c r="G221" s="23"/>
      <c r="H221" s="66"/>
      <c r="I221" s="66"/>
      <c r="J221" s="66"/>
      <c r="K221" s="66"/>
      <c r="L221" s="66"/>
      <c r="M221" s="66"/>
      <c r="N221" s="66"/>
    </row>
    <row r="222" spans="1:14" ht="23.25" x14ac:dyDescent="0.35">
      <c r="A222" s="853" t="s">
        <v>52</v>
      </c>
      <c r="B222" s="854"/>
      <c r="C222" s="855"/>
      <c r="D222" s="130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23.25" x14ac:dyDescent="0.35">
      <c r="A223" s="912" t="s">
        <v>55</v>
      </c>
      <c r="B223" s="29" t="s">
        <v>849</v>
      </c>
      <c r="C223" s="122">
        <v>35560</v>
      </c>
      <c r="D223" s="881" t="s">
        <v>950</v>
      </c>
      <c r="E223" s="25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23.25" x14ac:dyDescent="0.35">
      <c r="A224" s="878"/>
      <c r="B224" s="396" t="s">
        <v>734</v>
      </c>
      <c r="C224" s="397">
        <v>86960</v>
      </c>
      <c r="D224" s="882"/>
      <c r="E224" s="25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23.25" x14ac:dyDescent="0.35">
      <c r="A225" s="878"/>
      <c r="B225" s="29" t="s">
        <v>735</v>
      </c>
      <c r="C225" s="397">
        <v>6000</v>
      </c>
      <c r="D225" s="882"/>
      <c r="E225" s="25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1:14" ht="23.25" x14ac:dyDescent="0.35">
      <c r="A226" s="912"/>
      <c r="B226" s="70" t="s">
        <v>672</v>
      </c>
      <c r="C226" s="122">
        <v>2835</v>
      </c>
      <c r="D226" s="881"/>
      <c r="E226" s="23" t="s">
        <v>848</v>
      </c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1:14" ht="23.25" x14ac:dyDescent="0.35">
      <c r="A227" s="856" t="s">
        <v>57</v>
      </c>
      <c r="B227" s="856"/>
      <c r="C227" s="119">
        <f>SUM(C222:C226)</f>
        <v>131355</v>
      </c>
      <c r="D227" s="126"/>
      <c r="E227" s="25">
        <f>+C227</f>
        <v>131355</v>
      </c>
      <c r="F227" s="23" t="s">
        <v>757</v>
      </c>
      <c r="G227" s="23"/>
      <c r="H227" s="23"/>
      <c r="I227" s="23"/>
      <c r="J227" s="23"/>
      <c r="K227" s="23"/>
      <c r="L227" s="23"/>
      <c r="M227" s="23"/>
      <c r="N227" s="23"/>
    </row>
    <row r="228" spans="1:14" ht="23.25" x14ac:dyDescent="0.35">
      <c r="A228" s="23"/>
      <c r="B228" s="71" t="s">
        <v>395</v>
      </c>
      <c r="C228" s="122">
        <v>0</v>
      </c>
      <c r="D228" s="130"/>
      <c r="E228" s="23"/>
      <c r="F228" s="23"/>
      <c r="G228" s="23"/>
      <c r="H228" s="23"/>
      <c r="I228" s="23"/>
      <c r="J228" s="23"/>
      <c r="K228" s="23"/>
      <c r="L228" s="23"/>
      <c r="M228" s="23"/>
      <c r="N228" s="23">
        <f>172940*1.27</f>
        <v>219633.80000000002</v>
      </c>
    </row>
    <row r="229" spans="1:14" ht="23.25" x14ac:dyDescent="0.35">
      <c r="A229" s="134"/>
      <c r="B229" s="135" t="s">
        <v>58</v>
      </c>
      <c r="C229" s="122">
        <v>0</v>
      </c>
      <c r="D229" s="130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ht="23.25" x14ac:dyDescent="0.35">
      <c r="A230" s="853" t="s">
        <v>738</v>
      </c>
      <c r="B230" s="854"/>
      <c r="C230" s="855"/>
      <c r="D230" s="487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ht="50.25" customHeight="1" x14ac:dyDescent="0.35">
      <c r="A231" s="912" t="s">
        <v>55</v>
      </c>
      <c r="B231" s="411" t="s">
        <v>733</v>
      </c>
      <c r="C231" s="404">
        <v>35560</v>
      </c>
      <c r="D231" s="881" t="s">
        <v>950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50.25" customHeight="1" x14ac:dyDescent="0.35">
      <c r="A232" s="878"/>
      <c r="B232" s="394" t="s">
        <v>674</v>
      </c>
      <c r="C232" s="404">
        <v>58000</v>
      </c>
      <c r="D232" s="882"/>
      <c r="E232" s="23" t="s">
        <v>846</v>
      </c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ht="23.25" x14ac:dyDescent="0.35">
      <c r="A233" s="856" t="s">
        <v>740</v>
      </c>
      <c r="B233" s="856"/>
      <c r="C233" s="501">
        <f>SUM(C231:C232)</f>
        <v>93560</v>
      </c>
      <c r="D233" s="487"/>
      <c r="E233" s="25">
        <f>+C233</f>
        <v>93560</v>
      </c>
      <c r="F233" s="23" t="s">
        <v>757</v>
      </c>
      <c r="G233" s="23"/>
      <c r="H233" s="23"/>
      <c r="I233" s="23"/>
      <c r="J233" s="23"/>
      <c r="K233" s="23"/>
      <c r="L233" s="23"/>
      <c r="M233" s="23"/>
      <c r="N233" s="23"/>
    </row>
    <row r="234" spans="1:14" ht="23.25" x14ac:dyDescent="0.35">
      <c r="A234" s="862" t="s">
        <v>867</v>
      </c>
      <c r="B234" s="862"/>
      <c r="C234" s="515">
        <f>+C227+C233</f>
        <v>224915</v>
      </c>
      <c r="D234" s="487"/>
      <c r="E234" s="25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ht="23.25" x14ac:dyDescent="0.35">
      <c r="A235" s="479"/>
      <c r="B235" s="485"/>
      <c r="C235" s="486"/>
      <c r="D235" s="487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23.25" x14ac:dyDescent="0.35">
      <c r="A236" s="66"/>
      <c r="B236" s="67" t="s">
        <v>565</v>
      </c>
      <c r="C236" s="68"/>
      <c r="D236" s="139"/>
      <c r="E236" s="23"/>
      <c r="F236" s="66"/>
      <c r="G236" s="66"/>
      <c r="H236" s="23"/>
      <c r="I236" s="23"/>
      <c r="J236" s="23"/>
      <c r="K236" s="23"/>
      <c r="L236" s="23"/>
      <c r="M236" s="23"/>
      <c r="N236" s="23"/>
    </row>
    <row r="237" spans="1:14" ht="23.25" x14ac:dyDescent="0.35">
      <c r="A237" s="127"/>
      <c r="B237" s="135" t="s">
        <v>52</v>
      </c>
      <c r="C237" s="150"/>
      <c r="D237" s="130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ht="23.25" x14ac:dyDescent="0.35">
      <c r="A238" s="907" t="s">
        <v>55</v>
      </c>
      <c r="B238" s="70" t="s">
        <v>734</v>
      </c>
      <c r="C238" s="122">
        <f>845300+154396</f>
        <v>999696</v>
      </c>
      <c r="D238" s="886" t="s">
        <v>950</v>
      </c>
      <c r="E238" s="25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ht="23.25" x14ac:dyDescent="0.35">
      <c r="A239" s="863"/>
      <c r="B239" s="70" t="s">
        <v>735</v>
      </c>
      <c r="C239" s="122">
        <f>4646+4420</f>
        <v>9066</v>
      </c>
      <c r="D239" s="887"/>
      <c r="E239" s="25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ht="23.25" x14ac:dyDescent="0.35">
      <c r="A240" s="863"/>
      <c r="B240" s="70" t="s">
        <v>741</v>
      </c>
      <c r="C240" s="253">
        <v>5185</v>
      </c>
      <c r="D240" s="887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23.25" x14ac:dyDescent="0.35">
      <c r="A241" s="908"/>
      <c r="B241" s="70" t="s">
        <v>1089</v>
      </c>
      <c r="C241" s="253">
        <f>64059+24000</f>
        <v>88059</v>
      </c>
      <c r="D241" s="888"/>
      <c r="E241" s="25" t="s">
        <v>774</v>
      </c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ht="23.25" x14ac:dyDescent="0.35">
      <c r="A242" s="856" t="s">
        <v>57</v>
      </c>
      <c r="B242" s="856"/>
      <c r="C242" s="119">
        <f>SUM(C238:C241)</f>
        <v>1102006</v>
      </c>
      <c r="D242" s="126"/>
      <c r="E242" s="25">
        <f>+C242</f>
        <v>1102006</v>
      </c>
      <c r="F242" s="23" t="s">
        <v>757</v>
      </c>
      <c r="G242" s="23"/>
      <c r="H242" s="23"/>
      <c r="I242" s="23"/>
      <c r="J242" s="23"/>
      <c r="K242" s="23"/>
      <c r="L242" s="23"/>
      <c r="M242" s="23"/>
      <c r="N242" s="23"/>
    </row>
    <row r="243" spans="1:14" ht="23.25" x14ac:dyDescent="0.35">
      <c r="A243" s="23"/>
      <c r="B243" s="71" t="s">
        <v>395</v>
      </c>
      <c r="C243" s="122"/>
      <c r="D243" s="130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23.25" x14ac:dyDescent="0.35">
      <c r="A244" s="134"/>
      <c r="B244" s="135" t="s">
        <v>58</v>
      </c>
      <c r="C244" s="122"/>
      <c r="D244" s="130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1:14" ht="23.25" x14ac:dyDescent="0.35">
      <c r="A245" s="394"/>
      <c r="B245" s="135" t="s">
        <v>738</v>
      </c>
      <c r="C245" s="148"/>
      <c r="D245" s="128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ht="29.25" customHeight="1" x14ac:dyDescent="0.35">
      <c r="A246" s="864" t="s">
        <v>55</v>
      </c>
      <c r="B246" s="394" t="s">
        <v>1090</v>
      </c>
      <c r="C246" s="400">
        <v>427500</v>
      </c>
      <c r="D246" s="889" t="s">
        <v>950</v>
      </c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29.25" customHeight="1" x14ac:dyDescent="0.35">
      <c r="A247" s="863"/>
      <c r="B247" s="396" t="s">
        <v>742</v>
      </c>
      <c r="C247" s="404">
        <v>63500</v>
      </c>
      <c r="D247" s="880"/>
      <c r="G247" s="23"/>
      <c r="H247" s="23"/>
      <c r="I247" s="23"/>
      <c r="J247" s="23"/>
      <c r="K247" s="23"/>
      <c r="L247" s="23"/>
      <c r="M247" s="23"/>
      <c r="N247" s="23"/>
    </row>
    <row r="248" spans="1:14" ht="29.25" customHeight="1" x14ac:dyDescent="0.35">
      <c r="A248" s="863"/>
      <c r="B248" s="394" t="s">
        <v>674</v>
      </c>
      <c r="C248" s="404">
        <f>36889+46111</f>
        <v>83000</v>
      </c>
      <c r="D248" s="880"/>
      <c r="G248" s="25">
        <f>+E242+E250</f>
        <v>1914766</v>
      </c>
      <c r="H248" s="23"/>
      <c r="I248" s="23"/>
      <c r="J248" s="23"/>
      <c r="K248" s="23"/>
      <c r="L248" s="23"/>
      <c r="M248" s="23"/>
      <c r="N248" s="23"/>
    </row>
    <row r="249" spans="1:14" ht="29.25" customHeight="1" x14ac:dyDescent="0.35">
      <c r="A249" s="863"/>
      <c r="B249" s="411" t="s">
        <v>733</v>
      </c>
      <c r="C249" s="696">
        <f>17780+17780</f>
        <v>35560</v>
      </c>
      <c r="D249" s="890"/>
      <c r="E249" s="23" t="s">
        <v>855</v>
      </c>
      <c r="F249" s="23"/>
      <c r="G249" s="25"/>
      <c r="H249" s="23"/>
      <c r="I249" s="23"/>
      <c r="J249" s="23"/>
      <c r="K249" s="23"/>
      <c r="L249" s="23"/>
      <c r="M249" s="23"/>
      <c r="N249" s="23"/>
    </row>
    <row r="250" spans="1:14" ht="29.25" customHeight="1" x14ac:dyDescent="0.35">
      <c r="A250" s="873"/>
      <c r="B250" s="700" t="s">
        <v>1091</v>
      </c>
      <c r="C250" s="696">
        <v>203200</v>
      </c>
      <c r="D250" s="890"/>
      <c r="E250" s="25">
        <f>SUM(C246:C250)</f>
        <v>812760</v>
      </c>
      <c r="F250" s="23" t="s">
        <v>757</v>
      </c>
      <c r="G250" s="25"/>
      <c r="H250" s="23"/>
      <c r="I250" s="23"/>
      <c r="J250" s="23"/>
      <c r="K250" s="23"/>
      <c r="L250" s="23"/>
      <c r="M250" s="23"/>
      <c r="N250" s="23"/>
    </row>
    <row r="251" spans="1:14" ht="23.25" x14ac:dyDescent="0.35">
      <c r="A251" s="910" t="s">
        <v>740</v>
      </c>
      <c r="B251" s="911"/>
      <c r="C251" s="402">
        <f>SUM(C246:C250)</f>
        <v>812760</v>
      </c>
      <c r="D251" s="401"/>
      <c r="E251" s="25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23.25" x14ac:dyDescent="0.35">
      <c r="A252" s="862" t="s">
        <v>819</v>
      </c>
      <c r="B252" s="862"/>
      <c r="C252" s="483">
        <f>+C242+C243+C244+C251</f>
        <v>1914766</v>
      </c>
      <c r="D252" s="484"/>
      <c r="E252" s="25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23.25" x14ac:dyDescent="0.35">
      <c r="A253" s="479"/>
      <c r="B253" s="485"/>
      <c r="C253" s="486"/>
      <c r="D253" s="487"/>
      <c r="E253" s="23"/>
      <c r="G253" s="27"/>
      <c r="H253" s="23"/>
      <c r="I253" s="23"/>
      <c r="J253" s="23"/>
      <c r="K253" s="23"/>
      <c r="L253" s="23"/>
      <c r="M253" s="23"/>
      <c r="N253" s="23"/>
    </row>
    <row r="254" spans="1:14" ht="23.25" x14ac:dyDescent="0.35">
      <c r="A254" s="66"/>
      <c r="B254" s="67" t="s">
        <v>567</v>
      </c>
      <c r="C254" s="68"/>
      <c r="D254" s="139"/>
      <c r="E254" s="23"/>
      <c r="F254" s="30"/>
      <c r="G254" s="23"/>
      <c r="H254" s="23"/>
      <c r="I254" s="23"/>
      <c r="J254" s="23"/>
      <c r="K254" s="23"/>
      <c r="L254" s="23"/>
      <c r="M254" s="23"/>
      <c r="N254" s="23"/>
    </row>
    <row r="255" spans="1:14" ht="23.25" x14ac:dyDescent="0.35">
      <c r="A255" s="127"/>
      <c r="B255" s="135" t="s">
        <v>52</v>
      </c>
      <c r="C255" s="150"/>
      <c r="D255" s="130"/>
      <c r="E255" s="23"/>
      <c r="F255" s="30"/>
      <c r="G255" s="23"/>
      <c r="H255" s="23"/>
      <c r="I255" s="23"/>
      <c r="J255" s="23"/>
      <c r="K255" s="23"/>
      <c r="L255" s="23"/>
      <c r="M255" s="23"/>
      <c r="N255" s="23"/>
    </row>
    <row r="256" spans="1:14" ht="47.25" customHeight="1" x14ac:dyDescent="0.35">
      <c r="A256" s="907" t="s">
        <v>55</v>
      </c>
      <c r="B256" s="411" t="s">
        <v>733</v>
      </c>
      <c r="C256" s="122">
        <f>14000+3780+14000+3780+14000+3780+14000+3780</f>
        <v>71120</v>
      </c>
      <c r="D256" s="886" t="s">
        <v>950</v>
      </c>
      <c r="E256" s="257"/>
      <c r="F256" s="30"/>
      <c r="G256" s="23"/>
      <c r="H256" s="23"/>
      <c r="I256" s="23"/>
      <c r="J256" s="23"/>
      <c r="K256" s="23"/>
      <c r="L256" s="23"/>
      <c r="M256" s="23"/>
      <c r="N256" s="23"/>
    </row>
    <row r="257" spans="1:14" ht="47.25" customHeight="1" x14ac:dyDescent="0.35">
      <c r="A257" s="863"/>
      <c r="B257" s="396" t="s">
        <v>735</v>
      </c>
      <c r="C257" s="397">
        <f>7524+402+484</f>
        <v>8410</v>
      </c>
      <c r="D257" s="887"/>
      <c r="E257" s="257" t="s">
        <v>856</v>
      </c>
      <c r="F257" s="30"/>
      <c r="G257" s="23"/>
      <c r="H257" s="23"/>
      <c r="I257" s="23"/>
      <c r="J257" s="23"/>
      <c r="K257" s="23"/>
      <c r="L257" s="23"/>
      <c r="M257" s="23"/>
      <c r="N257" s="23"/>
    </row>
    <row r="258" spans="1:14" ht="23.25" x14ac:dyDescent="0.35">
      <c r="A258" s="856" t="s">
        <v>57</v>
      </c>
      <c r="B258" s="856"/>
      <c r="C258" s="119">
        <f>SUM(C256:C257)</f>
        <v>79530</v>
      </c>
      <c r="D258" s="126"/>
      <c r="E258" s="25">
        <f>+C258</f>
        <v>79530</v>
      </c>
      <c r="F258" s="23" t="s">
        <v>757</v>
      </c>
      <c r="G258" s="23"/>
      <c r="H258" s="23"/>
      <c r="I258" s="23"/>
      <c r="J258" s="23"/>
      <c r="K258" s="23"/>
      <c r="L258" s="23"/>
      <c r="M258" s="23"/>
      <c r="N258" s="23"/>
    </row>
    <row r="259" spans="1:14" ht="23.25" x14ac:dyDescent="0.35">
      <c r="A259" s="23"/>
      <c r="B259" s="71" t="s">
        <v>395</v>
      </c>
      <c r="C259" s="122">
        <v>0</v>
      </c>
      <c r="D259" s="130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ht="23.25" x14ac:dyDescent="0.35">
      <c r="A260" s="134"/>
      <c r="B260" s="135" t="s">
        <v>58</v>
      </c>
      <c r="C260" s="122">
        <v>0</v>
      </c>
      <c r="D260" s="130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23.25" x14ac:dyDescent="0.35">
      <c r="A261" s="853" t="s">
        <v>738</v>
      </c>
      <c r="B261" s="854"/>
      <c r="C261" s="855"/>
      <c r="D261" s="128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ht="75" customHeight="1" x14ac:dyDescent="0.35">
      <c r="A262" s="701" t="s">
        <v>55</v>
      </c>
      <c r="B262" s="513" t="s">
        <v>1095</v>
      </c>
      <c r="C262" s="400">
        <v>5000</v>
      </c>
      <c r="D262" s="891" t="s">
        <v>950</v>
      </c>
      <c r="E262" s="23" t="s">
        <v>857</v>
      </c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ht="101.25" customHeight="1" x14ac:dyDescent="0.35">
      <c r="A263" s="701" t="s">
        <v>56</v>
      </c>
      <c r="B263" s="513" t="s">
        <v>1096</v>
      </c>
      <c r="C263" s="400">
        <v>59760</v>
      </c>
      <c r="D263" s="892"/>
      <c r="E263" s="418">
        <f>+C262</f>
        <v>5000</v>
      </c>
      <c r="F263" s="419" t="s">
        <v>757</v>
      </c>
      <c r="G263" s="23"/>
      <c r="H263" s="23"/>
      <c r="I263" s="23"/>
      <c r="J263" s="23"/>
      <c r="K263" s="23"/>
      <c r="L263" s="23"/>
      <c r="M263" s="23"/>
      <c r="N263" s="23"/>
    </row>
    <row r="264" spans="1:14" ht="23.25" x14ac:dyDescent="0.35">
      <c r="A264" s="856" t="s">
        <v>740</v>
      </c>
      <c r="B264" s="856"/>
      <c r="C264" s="402">
        <f>SUM(C262:C263)</f>
        <v>64760</v>
      </c>
      <c r="D264" s="401"/>
      <c r="E264" s="23" t="s">
        <v>857</v>
      </c>
      <c r="G264" s="23"/>
      <c r="H264" s="23"/>
      <c r="I264" s="23"/>
      <c r="J264" s="23"/>
      <c r="K264" s="23"/>
      <c r="L264" s="23"/>
      <c r="M264" s="23"/>
      <c r="N264" s="23"/>
    </row>
    <row r="265" spans="1:14" ht="23.25" x14ac:dyDescent="0.35">
      <c r="A265" s="862" t="s">
        <v>820</v>
      </c>
      <c r="B265" s="862"/>
      <c r="C265" s="483">
        <f>+C258+C264+C259+C260</f>
        <v>144290</v>
      </c>
      <c r="D265" s="484"/>
      <c r="E265" s="25">
        <f>+C263</f>
        <v>59760</v>
      </c>
      <c r="F265" s="23" t="s">
        <v>1097</v>
      </c>
      <c r="G265" s="23"/>
      <c r="H265" s="23"/>
      <c r="I265" s="23"/>
      <c r="J265" s="23"/>
      <c r="K265" s="23"/>
      <c r="L265" s="23"/>
      <c r="M265" s="23"/>
      <c r="N265" s="23"/>
    </row>
    <row r="266" spans="1:14" ht="23.25" x14ac:dyDescent="0.35">
      <c r="A266" s="479"/>
      <c r="B266" s="485"/>
      <c r="C266" s="486"/>
      <c r="D266" s="487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s="69" customFormat="1" ht="23.25" x14ac:dyDescent="0.35">
      <c r="A267" s="66"/>
      <c r="B267" s="67" t="s">
        <v>566</v>
      </c>
      <c r="C267" s="68"/>
      <c r="D267" s="139"/>
      <c r="E267" s="66"/>
      <c r="F267" s="23"/>
      <c r="G267" s="23"/>
      <c r="H267" s="23"/>
      <c r="I267" s="23"/>
      <c r="J267" s="23"/>
      <c r="K267" s="66"/>
      <c r="L267" s="66"/>
      <c r="M267" s="66"/>
      <c r="N267" s="66"/>
    </row>
    <row r="268" spans="1:14" ht="23.25" x14ac:dyDescent="0.35">
      <c r="A268" s="883" t="s">
        <v>52</v>
      </c>
      <c r="B268" s="884"/>
      <c r="C268" s="885"/>
      <c r="D268" s="131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23.25" x14ac:dyDescent="0.35">
      <c r="A269" s="909" t="s">
        <v>55</v>
      </c>
      <c r="B269" s="396" t="s">
        <v>734</v>
      </c>
      <c r="C269" s="397">
        <f>98509+26176</f>
        <v>124685</v>
      </c>
      <c r="D269" s="879" t="s">
        <v>950</v>
      </c>
      <c r="E269" s="23"/>
      <c r="F269" s="258"/>
      <c r="H269" s="23"/>
      <c r="I269" s="23"/>
      <c r="J269" s="23"/>
      <c r="K269" s="23"/>
      <c r="L269" s="23"/>
      <c r="M269" s="23"/>
      <c r="N269" s="23"/>
    </row>
    <row r="270" spans="1:14" ht="23.25" x14ac:dyDescent="0.35">
      <c r="A270" s="865"/>
      <c r="B270" s="396" t="s">
        <v>741</v>
      </c>
      <c r="C270" s="397">
        <f>6125+1654</f>
        <v>7779</v>
      </c>
      <c r="D270" s="880"/>
      <c r="E270" s="23"/>
      <c r="F270" s="258"/>
      <c r="H270" s="23"/>
      <c r="I270" s="23"/>
      <c r="J270" s="23"/>
      <c r="K270" s="23"/>
      <c r="L270" s="23"/>
      <c r="M270" s="23"/>
      <c r="N270" s="23"/>
    </row>
    <row r="271" spans="1:14" ht="23.25" x14ac:dyDescent="0.35">
      <c r="A271" s="865"/>
      <c r="B271" s="396" t="s">
        <v>672</v>
      </c>
      <c r="C271" s="397">
        <v>5115</v>
      </c>
      <c r="D271" s="880"/>
      <c r="E271" s="23"/>
      <c r="F271" s="258"/>
      <c r="H271" s="23"/>
      <c r="I271" s="23"/>
      <c r="J271" s="23"/>
      <c r="K271" s="23"/>
      <c r="L271" s="23"/>
      <c r="M271" s="23"/>
      <c r="N271" s="23"/>
    </row>
    <row r="272" spans="1:14" ht="23.25" x14ac:dyDescent="0.35">
      <c r="A272" s="865"/>
      <c r="B272" s="396" t="s">
        <v>736</v>
      </c>
      <c r="C272" s="397">
        <f>4230+1142</f>
        <v>5372</v>
      </c>
      <c r="D272" s="880"/>
      <c r="E272" s="25" t="s">
        <v>775</v>
      </c>
      <c r="H272" s="23"/>
      <c r="I272" s="23"/>
      <c r="J272" s="23"/>
      <c r="K272" s="23"/>
      <c r="L272" s="23"/>
      <c r="M272" s="23"/>
      <c r="N272" s="23"/>
    </row>
    <row r="273" spans="1:14" ht="23.25" x14ac:dyDescent="0.35">
      <c r="A273" s="856" t="s">
        <v>57</v>
      </c>
      <c r="B273" s="856"/>
      <c r="C273" s="119">
        <f>SUM(C269:C272)</f>
        <v>142951</v>
      </c>
      <c r="D273" s="126"/>
      <c r="E273" s="25">
        <f>+C273</f>
        <v>142951</v>
      </c>
      <c r="F273" s="66" t="s">
        <v>757</v>
      </c>
      <c r="G273" s="66"/>
      <c r="H273" s="66"/>
      <c r="I273" s="66"/>
      <c r="J273" s="66"/>
      <c r="K273" s="23"/>
      <c r="L273" s="23"/>
      <c r="M273" s="23"/>
      <c r="N273" s="23"/>
    </row>
    <row r="274" spans="1:14" ht="23.25" x14ac:dyDescent="0.35">
      <c r="A274" s="23"/>
      <c r="B274" s="71" t="s">
        <v>395</v>
      </c>
      <c r="C274" s="122">
        <v>0</v>
      </c>
      <c r="D274" s="128"/>
      <c r="E274" s="25"/>
      <c r="H274" s="23"/>
      <c r="I274" s="23"/>
      <c r="J274" s="23"/>
      <c r="K274" s="23"/>
      <c r="L274" s="23"/>
      <c r="M274" s="23"/>
      <c r="N274" s="23"/>
    </row>
    <row r="275" spans="1:14" ht="23.25" x14ac:dyDescent="0.35">
      <c r="A275" s="23"/>
      <c r="B275" s="135" t="s">
        <v>58</v>
      </c>
      <c r="C275" s="122"/>
      <c r="D275" s="125"/>
      <c r="H275" s="23"/>
      <c r="I275" s="23"/>
      <c r="J275" s="23"/>
      <c r="K275" s="23"/>
      <c r="L275" s="23"/>
      <c r="M275" s="23"/>
      <c r="N275" s="23"/>
    </row>
    <row r="276" spans="1:14" ht="96.75" x14ac:dyDescent="0.35">
      <c r="A276" s="331" t="s">
        <v>56</v>
      </c>
      <c r="B276" s="145" t="s">
        <v>60</v>
      </c>
      <c r="C276" s="146">
        <v>209139</v>
      </c>
      <c r="D276" s="132" t="s">
        <v>950</v>
      </c>
      <c r="E276" s="23" t="s">
        <v>776</v>
      </c>
      <c r="H276" s="23"/>
      <c r="I276" s="23"/>
      <c r="J276" s="23"/>
      <c r="K276" s="23"/>
      <c r="L276" s="23"/>
      <c r="M276" s="23"/>
      <c r="N276" s="23"/>
    </row>
    <row r="277" spans="1:14" ht="23.25" x14ac:dyDescent="0.35">
      <c r="A277" s="902" t="s">
        <v>59</v>
      </c>
      <c r="B277" s="903"/>
      <c r="C277" s="123">
        <f>SUM(C276:C276)</f>
        <v>209139</v>
      </c>
      <c r="D277" s="124"/>
      <c r="E277" s="418">
        <f>SUM(C277)</f>
        <v>209139</v>
      </c>
      <c r="F277" s="421" t="s">
        <v>758</v>
      </c>
      <c r="H277" s="23"/>
      <c r="I277" s="23"/>
      <c r="J277" s="23"/>
      <c r="K277" s="23"/>
      <c r="L277" s="23"/>
      <c r="M277" s="23"/>
      <c r="N277" s="23"/>
    </row>
    <row r="278" spans="1:14" ht="23.25" x14ac:dyDescent="0.35">
      <c r="A278" s="853" t="s">
        <v>738</v>
      </c>
      <c r="B278" s="854"/>
      <c r="C278" s="855"/>
      <c r="D278" s="406"/>
      <c r="E278" s="418"/>
      <c r="F278" s="421"/>
      <c r="H278" s="23"/>
      <c r="I278" s="23"/>
      <c r="J278" s="23"/>
      <c r="K278" s="23"/>
      <c r="L278" s="23"/>
      <c r="M278" s="23"/>
      <c r="N278" s="23"/>
    </row>
    <row r="279" spans="1:14" ht="45.75" customHeight="1" x14ac:dyDescent="0.35">
      <c r="A279" s="864" t="s">
        <v>55</v>
      </c>
      <c r="B279" s="396" t="s">
        <v>731</v>
      </c>
      <c r="C279" s="146">
        <f>80000+21600</f>
        <v>101600</v>
      </c>
      <c r="D279" s="859" t="s">
        <v>950</v>
      </c>
      <c r="E279" s="418"/>
      <c r="F279" s="421"/>
      <c r="H279" s="23"/>
      <c r="I279" s="23"/>
      <c r="J279" s="23"/>
      <c r="K279" s="23"/>
      <c r="L279" s="23"/>
      <c r="M279" s="23"/>
      <c r="N279" s="23"/>
    </row>
    <row r="280" spans="1:14" ht="45.75" customHeight="1" x14ac:dyDescent="0.35">
      <c r="A280" s="873"/>
      <c r="B280" s="394" t="s">
        <v>674</v>
      </c>
      <c r="C280" s="146">
        <v>83000</v>
      </c>
      <c r="D280" s="861"/>
      <c r="E280" s="418" t="s">
        <v>851</v>
      </c>
      <c r="F280" s="421"/>
      <c r="H280" s="23"/>
      <c r="I280" s="23"/>
      <c r="J280" s="23"/>
      <c r="K280" s="23"/>
      <c r="L280" s="23"/>
      <c r="M280" s="23"/>
      <c r="N280" s="23"/>
    </row>
    <row r="281" spans="1:14" ht="23.25" x14ac:dyDescent="0.35">
      <c r="A281" s="856" t="s">
        <v>740</v>
      </c>
      <c r="B281" s="856"/>
      <c r="C281" s="505">
        <f>SUM(C279:C280)</f>
        <v>184600</v>
      </c>
      <c r="D281" s="406"/>
      <c r="E281" s="418">
        <f>+C281</f>
        <v>184600</v>
      </c>
      <c r="F281" s="66" t="s">
        <v>757</v>
      </c>
      <c r="G281" s="516">
        <f>+E273+E281</f>
        <v>327551</v>
      </c>
      <c r="H281" s="23"/>
      <c r="I281" s="23"/>
      <c r="J281" s="23"/>
      <c r="K281" s="23"/>
      <c r="L281" s="23"/>
      <c r="M281" s="23"/>
      <c r="N281" s="23"/>
    </row>
    <row r="282" spans="1:14" ht="23.25" x14ac:dyDescent="0.35">
      <c r="A282" s="862" t="s">
        <v>821</v>
      </c>
      <c r="B282" s="862"/>
      <c r="C282" s="488">
        <f>+C273+C277+C281</f>
        <v>536690</v>
      </c>
      <c r="D282" s="469"/>
      <c r="E282" s="418"/>
      <c r="F282" s="421"/>
      <c r="H282" s="23"/>
      <c r="I282" s="23"/>
      <c r="J282" s="23"/>
      <c r="K282" s="23"/>
      <c r="L282" s="23"/>
      <c r="M282" s="23"/>
      <c r="N282" s="23"/>
    </row>
    <row r="283" spans="1:14" ht="23.25" x14ac:dyDescent="0.35">
      <c r="A283" s="219"/>
      <c r="B283" s="220"/>
      <c r="C283" s="123"/>
      <c r="D283" s="234"/>
      <c r="E283" s="23"/>
      <c r="H283" s="23"/>
      <c r="I283" s="23"/>
      <c r="J283" s="23"/>
      <c r="K283" s="23"/>
      <c r="L283" s="23"/>
      <c r="M283" s="23"/>
      <c r="N283" s="23"/>
    </row>
    <row r="284" spans="1:14" s="69" customFormat="1" ht="23.25" x14ac:dyDescent="0.35">
      <c r="A284" s="66"/>
      <c r="B284" s="67" t="s">
        <v>822</v>
      </c>
      <c r="C284" s="68"/>
      <c r="D284" s="139"/>
      <c r="E284" s="66"/>
      <c r="F284"/>
      <c r="G284"/>
      <c r="H284" s="23"/>
      <c r="I284" s="23"/>
      <c r="J284" s="23"/>
      <c r="K284" s="66"/>
      <c r="L284" s="66"/>
      <c r="M284" s="66"/>
      <c r="N284" s="66"/>
    </row>
    <row r="285" spans="1:14" ht="23.25" x14ac:dyDescent="0.35">
      <c r="A285" s="29"/>
      <c r="B285" s="231" t="s">
        <v>868</v>
      </c>
      <c r="C285" s="232">
        <f>+C21+C121+C150+C177+C192+C212+C227+C242+C258+C273</f>
        <v>220737029</v>
      </c>
      <c r="D285" s="913" t="s">
        <v>950</v>
      </c>
      <c r="E285" s="23"/>
      <c r="H285" s="23"/>
      <c r="I285" s="23"/>
      <c r="J285" s="23"/>
      <c r="K285" s="23"/>
      <c r="L285" s="23"/>
      <c r="M285" s="23"/>
      <c r="N285" s="23"/>
    </row>
    <row r="286" spans="1:14" ht="23.25" x14ac:dyDescent="0.35">
      <c r="A286" s="29"/>
      <c r="B286" s="231" t="s">
        <v>676</v>
      </c>
      <c r="C286" s="232">
        <f>+C24</f>
        <v>72036518</v>
      </c>
      <c r="D286" s="875"/>
      <c r="E286" s="23"/>
      <c r="H286" s="23"/>
      <c r="I286" s="23"/>
      <c r="J286" s="23"/>
      <c r="K286" s="23"/>
      <c r="L286" s="23"/>
      <c r="M286" s="23"/>
      <c r="N286" s="23"/>
    </row>
    <row r="287" spans="1:14" ht="23.25" x14ac:dyDescent="0.35">
      <c r="A287" s="29"/>
      <c r="B287" s="231" t="s">
        <v>621</v>
      </c>
      <c r="C287" s="233">
        <f>+C38+C277</f>
        <v>73285570</v>
      </c>
      <c r="D287" s="875"/>
      <c r="E287" s="23"/>
      <c r="H287" s="23"/>
      <c r="I287" s="23"/>
      <c r="J287" s="23"/>
      <c r="K287" s="23"/>
      <c r="L287" s="23"/>
      <c r="M287" s="23"/>
      <c r="N287" s="23"/>
    </row>
    <row r="288" spans="1:14" ht="23.25" x14ac:dyDescent="0.35">
      <c r="A288" s="403"/>
      <c r="B288" s="415" t="s">
        <v>739</v>
      </c>
      <c r="C288" s="416">
        <f>+C104+C131+C166+C182+C204+C218+C233+C251+C264+C281</f>
        <v>765071933</v>
      </c>
      <c r="D288" s="875"/>
      <c r="E288" s="23"/>
      <c r="H288" s="23"/>
      <c r="I288" s="23"/>
      <c r="J288" s="23"/>
      <c r="K288" s="23"/>
      <c r="L288" s="23"/>
      <c r="M288" s="23"/>
      <c r="N288" s="23"/>
    </row>
    <row r="289" spans="1:14" ht="23.25" x14ac:dyDescent="0.35">
      <c r="A289" s="29"/>
      <c r="B289" s="231" t="s">
        <v>762</v>
      </c>
      <c r="C289" s="417">
        <f>+C111</f>
        <v>0</v>
      </c>
      <c r="D289" s="914"/>
      <c r="E289" s="23"/>
      <c r="H289" s="23"/>
      <c r="I289" s="23"/>
      <c r="J289" s="23"/>
      <c r="K289" s="23"/>
      <c r="L289" s="23"/>
      <c r="M289" s="23"/>
      <c r="N289" s="23"/>
    </row>
    <row r="290" spans="1:14" ht="57.75" customHeight="1" x14ac:dyDescent="0.35">
      <c r="A290" s="905" t="s">
        <v>1099</v>
      </c>
      <c r="B290" s="906"/>
      <c r="C290" s="489">
        <f>SUM(C285:C289)</f>
        <v>1131131050</v>
      </c>
      <c r="D290" s="127"/>
      <c r="E290" s="23"/>
      <c r="H290" s="23"/>
      <c r="I290" s="23"/>
      <c r="J290" s="23"/>
      <c r="K290" s="23"/>
      <c r="L290" s="23"/>
      <c r="M290" s="23"/>
      <c r="N290" s="23"/>
    </row>
    <row r="291" spans="1:14" ht="23.25" x14ac:dyDescent="0.35">
      <c r="A291" s="23"/>
      <c r="B291" s="23"/>
      <c r="C291" s="59"/>
      <c r="D291" s="30"/>
      <c r="E291" s="23"/>
      <c r="K291" s="23"/>
      <c r="L291" s="23"/>
      <c r="M291" s="23"/>
      <c r="N291" s="23"/>
    </row>
    <row r="292" spans="1:14" ht="23.25" x14ac:dyDescent="0.35">
      <c r="A292" s="164"/>
      <c r="B292" s="23" t="s">
        <v>686</v>
      </c>
      <c r="C292" s="59">
        <f>+E15+E24+E84+E107+E121+E128+E150+E166+E177+E182+E192+E201+E212+E218+E227+E233+E242+E250+E258+E263+E273+E281</f>
        <v>227183339</v>
      </c>
      <c r="D292" s="30"/>
      <c r="E292" s="23"/>
      <c r="K292" s="23"/>
      <c r="L292" s="23"/>
      <c r="M292" s="23"/>
      <c r="N292" s="23"/>
    </row>
    <row r="293" spans="1:14" ht="23.25" x14ac:dyDescent="0.35">
      <c r="A293" s="23"/>
      <c r="B293" s="23" t="s">
        <v>687</v>
      </c>
      <c r="C293" s="59">
        <f>+E20+E32+E103+E110+E130+E203+E265+E277</f>
        <v>903947711</v>
      </c>
      <c r="D293" s="30"/>
      <c r="E293" s="23"/>
      <c r="K293" s="23"/>
      <c r="L293" s="23"/>
      <c r="M293" s="23"/>
      <c r="N293" s="23"/>
    </row>
    <row r="294" spans="1:14" ht="23.25" x14ac:dyDescent="0.35">
      <c r="A294" s="23"/>
      <c r="B294" s="23" t="s">
        <v>688</v>
      </c>
      <c r="C294" s="59">
        <f>SUM(C292:C293)</f>
        <v>1131131050</v>
      </c>
      <c r="D294" s="23"/>
      <c r="E294" s="23"/>
      <c r="K294" s="23"/>
      <c r="L294" s="23"/>
      <c r="M294" s="23"/>
      <c r="N294" s="23"/>
    </row>
    <row r="295" spans="1:14" ht="23.25" x14ac:dyDescent="0.35">
      <c r="A295" s="23"/>
      <c r="B295" s="23"/>
      <c r="C295" s="58"/>
      <c r="D295" s="25"/>
      <c r="E295" s="23"/>
      <c r="K295" s="23"/>
      <c r="L295" s="23"/>
      <c r="M295" s="23"/>
      <c r="N295" s="23"/>
    </row>
    <row r="296" spans="1:14" ht="23.25" x14ac:dyDescent="0.35">
      <c r="A296" s="23"/>
      <c r="B296" s="23"/>
      <c r="C296" s="168">
        <f>+C38+C277</f>
        <v>73285570</v>
      </c>
      <c r="D296" s="23"/>
      <c r="E296" s="23"/>
      <c r="K296" s="23"/>
      <c r="L296" s="23"/>
      <c r="M296" s="23"/>
      <c r="N296" s="23"/>
    </row>
    <row r="301" spans="1:14" x14ac:dyDescent="0.25">
      <c r="E301" s="517">
        <f>+C290-C294</f>
        <v>0</v>
      </c>
    </row>
  </sheetData>
  <mergeCells count="97">
    <mergeCell ref="D154:D165"/>
    <mergeCell ref="A196:A201"/>
    <mergeCell ref="A202:A203"/>
    <mergeCell ref="D196:D203"/>
    <mergeCell ref="A216:A217"/>
    <mergeCell ref="D216:D217"/>
    <mergeCell ref="A195:C195"/>
    <mergeCell ref="A278:C278"/>
    <mergeCell ref="D279:D280"/>
    <mergeCell ref="D285:D289"/>
    <mergeCell ref="A112:B112"/>
    <mergeCell ref="A132:B132"/>
    <mergeCell ref="A167:B167"/>
    <mergeCell ref="A183:B183"/>
    <mergeCell ref="A205:B205"/>
    <mergeCell ref="D171:D176"/>
    <mergeCell ref="D187:D191"/>
    <mergeCell ref="A209:A211"/>
    <mergeCell ref="D209:D211"/>
    <mergeCell ref="A223:A226"/>
    <mergeCell ref="D223:D226"/>
    <mergeCell ref="A212:B212"/>
    <mergeCell ref="A115:C115"/>
    <mergeCell ref="A5:A15"/>
    <mergeCell ref="A290:B290"/>
    <mergeCell ref="A227:B227"/>
    <mergeCell ref="A273:B273"/>
    <mergeCell ref="A277:B277"/>
    <mergeCell ref="A242:B242"/>
    <mergeCell ref="A258:B258"/>
    <mergeCell ref="A238:A241"/>
    <mergeCell ref="A269:A272"/>
    <mergeCell ref="A256:A257"/>
    <mergeCell ref="A251:B251"/>
    <mergeCell ref="A282:B282"/>
    <mergeCell ref="A265:B265"/>
    <mergeCell ref="A281:B281"/>
    <mergeCell ref="A279:A280"/>
    <mergeCell ref="A231:A232"/>
    <mergeCell ref="A218:B218"/>
    <mergeCell ref="A234:B234"/>
    <mergeCell ref="A230:C230"/>
    <mergeCell ref="A1:D1"/>
    <mergeCell ref="D5:D20"/>
    <mergeCell ref="D26:D37"/>
    <mergeCell ref="A34:A37"/>
    <mergeCell ref="D116:D120"/>
    <mergeCell ref="A111:B111"/>
    <mergeCell ref="A21:B21"/>
    <mergeCell ref="A38:B38"/>
    <mergeCell ref="A24:B24"/>
    <mergeCell ref="A104:B104"/>
    <mergeCell ref="A116:A120"/>
    <mergeCell ref="D40:D84"/>
    <mergeCell ref="D85:D103"/>
    <mergeCell ref="D269:D272"/>
    <mergeCell ref="D231:D232"/>
    <mergeCell ref="A268:C268"/>
    <mergeCell ref="D238:D241"/>
    <mergeCell ref="D256:D257"/>
    <mergeCell ref="D246:D250"/>
    <mergeCell ref="A264:B264"/>
    <mergeCell ref="D262:D263"/>
    <mergeCell ref="A252:B252"/>
    <mergeCell ref="A233:B233"/>
    <mergeCell ref="A261:C261"/>
    <mergeCell ref="A246:A250"/>
    <mergeCell ref="A171:A176"/>
    <mergeCell ref="A192:B192"/>
    <mergeCell ref="A177:B177"/>
    <mergeCell ref="A187:A191"/>
    <mergeCell ref="A182:B182"/>
    <mergeCell ref="A180:C180"/>
    <mergeCell ref="A219:B219"/>
    <mergeCell ref="A204:B204"/>
    <mergeCell ref="A222:C222"/>
    <mergeCell ref="A215:C215"/>
    <mergeCell ref="A16:A20"/>
    <mergeCell ref="A40:A84"/>
    <mergeCell ref="A125:A128"/>
    <mergeCell ref="A85:A103"/>
    <mergeCell ref="A166:B166"/>
    <mergeCell ref="A150:B150"/>
    <mergeCell ref="A154:A165"/>
    <mergeCell ref="A153:C153"/>
    <mergeCell ref="A106:A107"/>
    <mergeCell ref="A129:A130"/>
    <mergeCell ref="A108:A110"/>
    <mergeCell ref="A26:A33"/>
    <mergeCell ref="D106:D110"/>
    <mergeCell ref="A105:C105"/>
    <mergeCell ref="A121:B121"/>
    <mergeCell ref="A136:A149"/>
    <mergeCell ref="A124:C124"/>
    <mergeCell ref="A131:B131"/>
    <mergeCell ref="D125:D130"/>
    <mergeCell ref="D136:D149"/>
  </mergeCells>
  <printOptions horizontalCentered="1" verticalCentered="1"/>
  <pageMargins left="0.31496062992125984" right="0.31496062992125984" top="0.59055118110236227" bottom="0.59055118110236227" header="0.15748031496062992" footer="0.55118110236220474"/>
  <pageSetup paperSize="9" scale="36" orientation="portrait" r:id="rId1"/>
  <headerFooter>
    <oddHeader>&amp;CDunaharaszti Város Önkormányzat 
2022. évi zárszámadás&amp;R&amp;A</oddHeader>
    <oddFooter>&amp;C&amp;P/&amp;N</oddFooter>
  </headerFooter>
  <rowBreaks count="3" manualBreakCount="3">
    <brk id="84" max="3" man="1"/>
    <brk id="152" max="3" man="1"/>
    <brk id="234" max="3" man="1"/>
  </rowBreaks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L91"/>
  <sheetViews>
    <sheetView tabSelected="1" view="pageBreakPreview" topLeftCell="A69" zoomScaleNormal="100" zoomScaleSheetLayoutView="100" workbookViewId="0">
      <selection activeCell="A89" sqref="A89"/>
    </sheetView>
  </sheetViews>
  <sheetFormatPr defaultColWidth="9.140625" defaultRowHeight="15" x14ac:dyDescent="0.25"/>
  <cols>
    <col min="1" max="1" width="9.140625" style="54"/>
    <col min="2" max="2" width="6" style="54" customWidth="1"/>
    <col min="3" max="3" width="81.5703125" style="54" customWidth="1"/>
    <col min="4" max="4" width="23" style="54" customWidth="1"/>
    <col min="5" max="5" width="20.7109375" style="54" customWidth="1"/>
    <col min="6" max="6" width="18.7109375" style="54" customWidth="1"/>
    <col min="7" max="7" width="17.140625" style="54" customWidth="1"/>
    <col min="8" max="8" width="17.42578125" style="54" bestFit="1" customWidth="1"/>
    <col min="9" max="11" width="9.140625" style="54"/>
    <col min="12" max="12" width="18.7109375" style="54" customWidth="1"/>
    <col min="13" max="16384" width="9.140625" style="54"/>
  </cols>
  <sheetData>
    <row r="1" spans="1:5" ht="23.25" x14ac:dyDescent="0.35">
      <c r="A1" s="919" t="s">
        <v>61</v>
      </c>
      <c r="B1" s="919"/>
      <c r="C1" s="919"/>
      <c r="D1" s="919"/>
      <c r="E1" s="919"/>
    </row>
    <row r="2" spans="1:5" ht="8.25" customHeight="1" x14ac:dyDescent="0.35">
      <c r="A2" s="162"/>
      <c r="B2" s="162"/>
      <c r="C2" s="162"/>
      <c r="D2" s="162"/>
      <c r="E2" s="162"/>
    </row>
    <row r="3" spans="1:5" ht="32.25" customHeight="1" x14ac:dyDescent="0.35">
      <c r="A3" s="920" t="s">
        <v>1092</v>
      </c>
      <c r="B3" s="920"/>
      <c r="C3" s="920"/>
      <c r="D3" s="920"/>
      <c r="E3" s="920"/>
    </row>
    <row r="4" spans="1:5" ht="30" x14ac:dyDescent="0.25">
      <c r="A4" s="72"/>
      <c r="B4" s="152" t="s">
        <v>1</v>
      </c>
      <c r="C4" s="73" t="s">
        <v>53</v>
      </c>
      <c r="D4" s="74" t="s">
        <v>54</v>
      </c>
      <c r="E4" s="157"/>
    </row>
    <row r="5" spans="1:5" ht="15" customHeight="1" x14ac:dyDescent="0.25">
      <c r="A5" s="933" t="s">
        <v>63</v>
      </c>
      <c r="B5" s="490" t="s">
        <v>3</v>
      </c>
      <c r="C5" s="726" t="s">
        <v>1100</v>
      </c>
      <c r="D5" s="727">
        <v>5000000</v>
      </c>
      <c r="E5" s="923" t="s">
        <v>950</v>
      </c>
    </row>
    <row r="6" spans="1:5" x14ac:dyDescent="0.25">
      <c r="A6" s="934"/>
      <c r="B6" s="717" t="s">
        <v>4</v>
      </c>
      <c r="C6" s="711" t="s">
        <v>1101</v>
      </c>
      <c r="D6" s="718">
        <v>40000000</v>
      </c>
      <c r="E6" s="924"/>
    </row>
    <row r="7" spans="1:5" x14ac:dyDescent="0.25">
      <c r="A7" s="934"/>
      <c r="B7" s="717" t="s">
        <v>5</v>
      </c>
      <c r="C7" s="711" t="s">
        <v>1102</v>
      </c>
      <c r="D7" s="718">
        <v>2000000</v>
      </c>
      <c r="E7" s="924"/>
    </row>
    <row r="8" spans="1:5" x14ac:dyDescent="0.25">
      <c r="A8" s="934"/>
      <c r="B8" s="717" t="s">
        <v>6</v>
      </c>
      <c r="C8" s="711" t="s">
        <v>1103</v>
      </c>
      <c r="D8" s="718">
        <v>5000000</v>
      </c>
      <c r="E8" s="924"/>
    </row>
    <row r="9" spans="1:5" x14ac:dyDescent="0.25">
      <c r="A9" s="934"/>
      <c r="B9" s="717" t="s">
        <v>7</v>
      </c>
      <c r="C9" s="712" t="s">
        <v>1104</v>
      </c>
      <c r="D9" s="718">
        <v>889000</v>
      </c>
      <c r="E9" s="924"/>
    </row>
    <row r="10" spans="1:5" x14ac:dyDescent="0.25">
      <c r="A10" s="934"/>
      <c r="B10" s="717" t="s">
        <v>8</v>
      </c>
      <c r="C10" s="711" t="s">
        <v>1105</v>
      </c>
      <c r="D10" s="718">
        <v>127000</v>
      </c>
      <c r="E10" s="924"/>
    </row>
    <row r="11" spans="1:5" x14ac:dyDescent="0.25">
      <c r="A11" s="934"/>
      <c r="B11" s="717" t="s">
        <v>9</v>
      </c>
      <c r="C11" s="711" t="s">
        <v>1106</v>
      </c>
      <c r="D11" s="718">
        <v>1000000</v>
      </c>
      <c r="E11" s="924"/>
    </row>
    <row r="12" spans="1:5" x14ac:dyDescent="0.25">
      <c r="A12" s="934"/>
      <c r="B12" s="717" t="s">
        <v>23</v>
      </c>
      <c r="C12" s="712" t="s">
        <v>1107</v>
      </c>
      <c r="D12" s="728">
        <v>6000000</v>
      </c>
      <c r="E12" s="924"/>
    </row>
    <row r="13" spans="1:5" ht="25.5" x14ac:dyDescent="0.25">
      <c r="A13" s="934"/>
      <c r="B13" s="717" t="s">
        <v>25</v>
      </c>
      <c r="C13" s="713" t="s">
        <v>1108</v>
      </c>
      <c r="D13" s="718">
        <v>50000000</v>
      </c>
      <c r="E13" s="924"/>
    </row>
    <row r="14" spans="1:5" x14ac:dyDescent="0.25">
      <c r="A14" s="934"/>
      <c r="B14" s="717" t="s">
        <v>27</v>
      </c>
      <c r="C14" s="712" t="s">
        <v>1109</v>
      </c>
      <c r="D14" s="718">
        <v>5000000</v>
      </c>
      <c r="E14" s="924"/>
    </row>
    <row r="15" spans="1:5" x14ac:dyDescent="0.25">
      <c r="A15" s="934"/>
      <c r="B15" s="717" t="s">
        <v>30</v>
      </c>
      <c r="C15" s="714" t="s">
        <v>1110</v>
      </c>
      <c r="D15" s="718">
        <v>4000000</v>
      </c>
      <c r="E15" s="924"/>
    </row>
    <row r="16" spans="1:5" ht="25.5" x14ac:dyDescent="0.25">
      <c r="A16" s="934"/>
      <c r="B16" s="717" t="s">
        <v>32</v>
      </c>
      <c r="C16" s="714" t="s">
        <v>1111</v>
      </c>
      <c r="D16" s="718">
        <v>26400000</v>
      </c>
      <c r="E16" s="924"/>
    </row>
    <row r="17" spans="1:7" x14ac:dyDescent="0.25">
      <c r="A17" s="934"/>
      <c r="B17" s="717" t="s">
        <v>33</v>
      </c>
      <c r="C17" s="711" t="s">
        <v>1112</v>
      </c>
      <c r="D17" s="718">
        <v>635000</v>
      </c>
      <c r="E17" s="924"/>
    </row>
    <row r="18" spans="1:7" x14ac:dyDescent="0.25">
      <c r="A18" s="934"/>
      <c r="B18" s="717" t="s">
        <v>34</v>
      </c>
      <c r="C18" s="711" t="s">
        <v>1113</v>
      </c>
      <c r="D18" s="718">
        <v>254000</v>
      </c>
      <c r="E18" s="924"/>
    </row>
    <row r="19" spans="1:7" x14ac:dyDescent="0.25">
      <c r="A19" s="934"/>
      <c r="B19" s="717" t="s">
        <v>35</v>
      </c>
      <c r="C19" s="712" t="s">
        <v>1114</v>
      </c>
      <c r="D19" s="718">
        <v>4445000</v>
      </c>
      <c r="E19" s="924"/>
    </row>
    <row r="20" spans="1:7" x14ac:dyDescent="0.25">
      <c r="A20" s="934"/>
      <c r="B20" s="717" t="s">
        <v>37</v>
      </c>
      <c r="C20" s="720" t="s">
        <v>1141</v>
      </c>
      <c r="D20" s="718">
        <v>2000000</v>
      </c>
      <c r="E20" s="924"/>
    </row>
    <row r="21" spans="1:7" x14ac:dyDescent="0.25">
      <c r="A21" s="934"/>
      <c r="B21" s="717" t="s">
        <v>47</v>
      </c>
      <c r="C21" s="721" t="s">
        <v>1142</v>
      </c>
      <c r="D21" s="718">
        <v>500000</v>
      </c>
      <c r="E21" s="924"/>
    </row>
    <row r="22" spans="1:7" x14ac:dyDescent="0.25">
      <c r="A22" s="934"/>
      <c r="B22" s="717" t="s">
        <v>49</v>
      </c>
      <c r="C22" s="722" t="s">
        <v>1143</v>
      </c>
      <c r="D22" s="718">
        <v>1000000</v>
      </c>
      <c r="E22" s="924"/>
    </row>
    <row r="23" spans="1:7" x14ac:dyDescent="0.25">
      <c r="A23" s="934"/>
      <c r="B23" s="717" t="s">
        <v>66</v>
      </c>
      <c r="C23" s="722" t="s">
        <v>1144</v>
      </c>
      <c r="D23" s="718">
        <v>6000000</v>
      </c>
      <c r="E23" s="924"/>
    </row>
    <row r="24" spans="1:7" ht="15.75" thickBot="1" x14ac:dyDescent="0.3">
      <c r="A24" s="935"/>
      <c r="B24" s="729" t="s">
        <v>67</v>
      </c>
      <c r="C24" s="730" t="s">
        <v>1145</v>
      </c>
      <c r="D24" s="731">
        <v>10000000</v>
      </c>
      <c r="E24" s="925"/>
      <c r="F24" s="251">
        <f>SUM(D5:D24)</f>
        <v>170250000</v>
      </c>
      <c r="G24" s="54" t="s">
        <v>678</v>
      </c>
    </row>
    <row r="25" spans="1:7" ht="17.25" customHeight="1" x14ac:dyDescent="0.25">
      <c r="A25" s="930" t="s">
        <v>64</v>
      </c>
      <c r="B25" s="724" t="s">
        <v>68</v>
      </c>
      <c r="C25" s="714" t="s">
        <v>1115</v>
      </c>
      <c r="D25" s="725">
        <v>230000000</v>
      </c>
      <c r="E25" s="926" t="s">
        <v>950</v>
      </c>
      <c r="F25" s="75"/>
    </row>
    <row r="26" spans="1:7" ht="17.25" customHeight="1" x14ac:dyDescent="0.25">
      <c r="A26" s="931"/>
      <c r="B26" s="724" t="s">
        <v>69</v>
      </c>
      <c r="C26" s="711" t="s">
        <v>1116</v>
      </c>
      <c r="D26" s="518">
        <v>5000000</v>
      </c>
      <c r="E26" s="927"/>
    </row>
    <row r="27" spans="1:7" ht="17.25" customHeight="1" x14ac:dyDescent="0.25">
      <c r="A27" s="931"/>
      <c r="B27" s="724" t="s">
        <v>70</v>
      </c>
      <c r="C27" s="711" t="s">
        <v>1117</v>
      </c>
      <c r="D27" s="518">
        <v>5000000</v>
      </c>
      <c r="E27" s="927"/>
    </row>
    <row r="28" spans="1:7" ht="17.25" customHeight="1" x14ac:dyDescent="0.25">
      <c r="A28" s="931"/>
      <c r="B28" s="724" t="s">
        <v>71</v>
      </c>
      <c r="C28" s="712" t="s">
        <v>1118</v>
      </c>
      <c r="D28" s="518">
        <v>10000000</v>
      </c>
      <c r="E28" s="927"/>
    </row>
    <row r="29" spans="1:7" ht="17.25" customHeight="1" x14ac:dyDescent="0.25">
      <c r="A29" s="931"/>
      <c r="B29" s="724" t="s">
        <v>72</v>
      </c>
      <c r="C29" s="712" t="s">
        <v>1119</v>
      </c>
      <c r="D29" s="518">
        <v>15000000</v>
      </c>
      <c r="E29" s="927"/>
    </row>
    <row r="30" spans="1:7" ht="17.25" customHeight="1" x14ac:dyDescent="0.25">
      <c r="A30" s="931"/>
      <c r="B30" s="724" t="s">
        <v>73</v>
      </c>
      <c r="C30" s="712" t="s">
        <v>1120</v>
      </c>
      <c r="D30" s="518">
        <v>50000000</v>
      </c>
      <c r="E30" s="927"/>
    </row>
    <row r="31" spans="1:7" ht="17.25" customHeight="1" x14ac:dyDescent="0.25">
      <c r="A31" s="931"/>
      <c r="B31" s="724" t="s">
        <v>74</v>
      </c>
      <c r="C31" s="712" t="s">
        <v>1121</v>
      </c>
      <c r="D31" s="518">
        <v>50000000</v>
      </c>
      <c r="E31" s="927"/>
    </row>
    <row r="32" spans="1:7" ht="17.25" customHeight="1" x14ac:dyDescent="0.25">
      <c r="A32" s="931"/>
      <c r="B32" s="724" t="s">
        <v>75</v>
      </c>
      <c r="C32" s="712" t="s">
        <v>1122</v>
      </c>
      <c r="D32" s="518">
        <v>10000000</v>
      </c>
      <c r="E32" s="927"/>
    </row>
    <row r="33" spans="1:6" ht="17.25" customHeight="1" x14ac:dyDescent="0.25">
      <c r="A33" s="931"/>
      <c r="B33" s="724" t="s">
        <v>256</v>
      </c>
      <c r="C33" s="712" t="s">
        <v>1123</v>
      </c>
      <c r="D33" s="518">
        <v>50000000</v>
      </c>
      <c r="E33" s="927"/>
    </row>
    <row r="34" spans="1:6" ht="17.25" customHeight="1" x14ac:dyDescent="0.25">
      <c r="A34" s="931"/>
      <c r="B34" s="724" t="s">
        <v>257</v>
      </c>
      <c r="C34" s="712" t="s">
        <v>1124</v>
      </c>
      <c r="D34" s="518">
        <v>55711824</v>
      </c>
      <c r="E34" s="927"/>
    </row>
    <row r="35" spans="1:6" ht="17.25" customHeight="1" x14ac:dyDescent="0.25">
      <c r="A35" s="931"/>
      <c r="B35" s="724" t="s">
        <v>258</v>
      </c>
      <c r="C35" s="712" t="s">
        <v>1125</v>
      </c>
      <c r="D35" s="518">
        <v>20000000</v>
      </c>
      <c r="E35" s="927"/>
    </row>
    <row r="36" spans="1:6" ht="17.25" customHeight="1" x14ac:dyDescent="0.25">
      <c r="A36" s="931"/>
      <c r="B36" s="724" t="s">
        <v>259</v>
      </c>
      <c r="C36" s="712" t="s">
        <v>1126</v>
      </c>
      <c r="D36" s="518">
        <v>50000000</v>
      </c>
      <c r="E36" s="927"/>
      <c r="F36" s="75"/>
    </row>
    <row r="37" spans="1:6" ht="17.25" customHeight="1" x14ac:dyDescent="0.25">
      <c r="A37" s="931"/>
      <c r="B37" s="724" t="s">
        <v>260</v>
      </c>
      <c r="C37" s="716" t="s">
        <v>1127</v>
      </c>
      <c r="D37" s="518">
        <v>30000000</v>
      </c>
      <c r="E37" s="927"/>
    </row>
    <row r="38" spans="1:6" x14ac:dyDescent="0.25">
      <c r="A38" s="931"/>
      <c r="B38" s="724" t="s">
        <v>261</v>
      </c>
      <c r="C38" s="715" t="s">
        <v>1128</v>
      </c>
      <c r="D38" s="518">
        <v>25000000</v>
      </c>
      <c r="E38" s="927"/>
    </row>
    <row r="39" spans="1:6" ht="17.25" customHeight="1" x14ac:dyDescent="0.25">
      <c r="A39" s="931"/>
      <c r="B39" s="724" t="s">
        <v>262</v>
      </c>
      <c r="C39" s="715" t="s">
        <v>1129</v>
      </c>
      <c r="D39" s="518">
        <v>6000000</v>
      </c>
      <c r="E39" s="927"/>
    </row>
    <row r="40" spans="1:6" ht="17.25" customHeight="1" x14ac:dyDescent="0.25">
      <c r="A40" s="931"/>
      <c r="B40" s="724" t="s">
        <v>263</v>
      </c>
      <c r="C40" s="715" t="s">
        <v>1134</v>
      </c>
      <c r="D40" s="518">
        <v>30000000</v>
      </c>
      <c r="E40" s="927"/>
    </row>
    <row r="41" spans="1:6" ht="17.25" customHeight="1" x14ac:dyDescent="0.25">
      <c r="A41" s="932"/>
      <c r="B41" s="724" t="s">
        <v>264</v>
      </c>
      <c r="C41" s="715" t="s">
        <v>1135</v>
      </c>
      <c r="D41" s="718">
        <v>10000000</v>
      </c>
      <c r="E41" s="928"/>
    </row>
    <row r="42" spans="1:6" ht="17.25" customHeight="1" x14ac:dyDescent="0.25">
      <c r="A42" s="932"/>
      <c r="B42" s="724" t="s">
        <v>489</v>
      </c>
      <c r="C42" s="715" t="s">
        <v>1136</v>
      </c>
      <c r="D42" s="718">
        <v>20000000</v>
      </c>
      <c r="E42" s="928"/>
    </row>
    <row r="43" spans="1:6" ht="17.25" customHeight="1" x14ac:dyDescent="0.25">
      <c r="A43" s="932"/>
      <c r="B43" s="724" t="s">
        <v>265</v>
      </c>
      <c r="C43" s="715" t="s">
        <v>1137</v>
      </c>
      <c r="D43" s="718">
        <v>51500000</v>
      </c>
      <c r="E43" s="928"/>
    </row>
    <row r="44" spans="1:6" ht="25.5" customHeight="1" x14ac:dyDescent="0.25">
      <c r="A44" s="932"/>
      <c r="B44" s="724" t="s">
        <v>266</v>
      </c>
      <c r="C44" s="719" t="s">
        <v>1138</v>
      </c>
      <c r="D44" s="718">
        <v>101000000</v>
      </c>
      <c r="E44" s="928"/>
    </row>
    <row r="45" spans="1:6" ht="17.25" customHeight="1" x14ac:dyDescent="0.25">
      <c r="A45" s="932"/>
      <c r="B45" s="724" t="s">
        <v>267</v>
      </c>
      <c r="C45" s="715" t="s">
        <v>1139</v>
      </c>
      <c r="D45" s="718">
        <v>50000000</v>
      </c>
      <c r="E45" s="928"/>
    </row>
    <row r="46" spans="1:6" ht="17.25" customHeight="1" x14ac:dyDescent="0.25">
      <c r="A46" s="932"/>
      <c r="B46" s="724" t="s">
        <v>268</v>
      </c>
      <c r="C46" s="715" t="s">
        <v>1130</v>
      </c>
      <c r="D46" s="718">
        <v>10000000</v>
      </c>
      <c r="E46" s="928"/>
    </row>
    <row r="47" spans="1:6" ht="17.25" customHeight="1" x14ac:dyDescent="0.25">
      <c r="A47" s="932"/>
      <c r="B47" s="724" t="s">
        <v>269</v>
      </c>
      <c r="C47" s="715" t="s">
        <v>1131</v>
      </c>
      <c r="D47" s="718">
        <v>20000000</v>
      </c>
      <c r="E47" s="928"/>
    </row>
    <row r="48" spans="1:6" ht="17.25" customHeight="1" x14ac:dyDescent="0.25">
      <c r="A48" s="932"/>
      <c r="B48" s="724" t="s">
        <v>270</v>
      </c>
      <c r="C48" s="715" t="s">
        <v>1132</v>
      </c>
      <c r="D48" s="718">
        <v>15000000</v>
      </c>
      <c r="E48" s="928"/>
    </row>
    <row r="49" spans="1:12" ht="17.25" customHeight="1" x14ac:dyDescent="0.25">
      <c r="A49" s="932"/>
      <c r="B49" s="724" t="s">
        <v>271</v>
      </c>
      <c r="C49" s="715" t="s">
        <v>1140</v>
      </c>
      <c r="D49" s="718">
        <v>5000000</v>
      </c>
      <c r="E49" s="928"/>
    </row>
    <row r="50" spans="1:12" ht="17.25" customHeight="1" x14ac:dyDescent="0.25">
      <c r="A50" s="932"/>
      <c r="B50" s="724" t="s">
        <v>272</v>
      </c>
      <c r="C50" s="715" t="s">
        <v>1133</v>
      </c>
      <c r="D50" s="718">
        <v>5000000</v>
      </c>
      <c r="E50" s="928"/>
    </row>
    <row r="51" spans="1:12" ht="17.25" customHeight="1" x14ac:dyDescent="0.25">
      <c r="A51" s="932"/>
      <c r="B51" s="724" t="s">
        <v>273</v>
      </c>
      <c r="C51" s="723" t="s">
        <v>1146</v>
      </c>
      <c r="D51" s="718">
        <v>100000000</v>
      </c>
      <c r="E51" s="928"/>
    </row>
    <row r="52" spans="1:12" ht="17.25" customHeight="1" x14ac:dyDescent="0.25">
      <c r="A52" s="932"/>
      <c r="B52" s="724" t="s">
        <v>274</v>
      </c>
      <c r="C52" s="723" t="s">
        <v>1147</v>
      </c>
      <c r="D52" s="718">
        <v>3000000</v>
      </c>
      <c r="E52" s="928"/>
    </row>
    <row r="53" spans="1:12" ht="17.25" customHeight="1" x14ac:dyDescent="0.25">
      <c r="A53" s="931"/>
      <c r="B53" s="724" t="s">
        <v>275</v>
      </c>
      <c r="C53" s="723" t="s">
        <v>1148</v>
      </c>
      <c r="D53" s="518">
        <v>840000</v>
      </c>
      <c r="E53" s="927"/>
    </row>
    <row r="54" spans="1:12" ht="17.25" customHeight="1" x14ac:dyDescent="0.25">
      <c r="A54" s="931"/>
      <c r="B54" s="724" t="s">
        <v>1155</v>
      </c>
      <c r="C54" s="723" t="s">
        <v>1149</v>
      </c>
      <c r="D54" s="518">
        <v>500000</v>
      </c>
      <c r="E54" s="927"/>
    </row>
    <row r="55" spans="1:12" x14ac:dyDescent="0.25">
      <c r="A55" s="931"/>
      <c r="B55" s="724" t="s">
        <v>1156</v>
      </c>
      <c r="C55" s="723" t="s">
        <v>1150</v>
      </c>
      <c r="D55" s="518">
        <v>500000</v>
      </c>
      <c r="E55" s="927"/>
    </row>
    <row r="56" spans="1:12" ht="17.25" customHeight="1" x14ac:dyDescent="0.25">
      <c r="A56" s="931"/>
      <c r="B56" s="724" t="s">
        <v>1157</v>
      </c>
      <c r="C56" s="723" t="s">
        <v>1151</v>
      </c>
      <c r="D56" s="518">
        <v>700000</v>
      </c>
      <c r="E56" s="927"/>
    </row>
    <row r="57" spans="1:12" x14ac:dyDescent="0.25">
      <c r="A57" s="931"/>
      <c r="B57" s="724" t="s">
        <v>1158</v>
      </c>
      <c r="C57" s="723" t="s">
        <v>1152</v>
      </c>
      <c r="D57" s="518">
        <v>300000</v>
      </c>
      <c r="E57" s="927"/>
    </row>
    <row r="58" spans="1:12" x14ac:dyDescent="0.25">
      <c r="A58" s="931"/>
      <c r="B58" s="724" t="s">
        <v>1159</v>
      </c>
      <c r="C58" s="723" t="s">
        <v>1153</v>
      </c>
      <c r="D58" s="518">
        <v>1000000</v>
      </c>
      <c r="E58" s="927"/>
    </row>
    <row r="59" spans="1:12" x14ac:dyDescent="0.25">
      <c r="A59" s="931"/>
      <c r="B59" s="724" t="s">
        <v>1160</v>
      </c>
      <c r="C59" s="723" t="s">
        <v>1154</v>
      </c>
      <c r="D59" s="518">
        <v>1193698176</v>
      </c>
      <c r="E59" s="927"/>
      <c r="F59" s="75">
        <f>SUM(D25:D59)</f>
        <v>2229750000</v>
      </c>
      <c r="G59" s="54" t="s">
        <v>677</v>
      </c>
    </row>
    <row r="60" spans="1:12" ht="18.75" x14ac:dyDescent="0.25">
      <c r="A60" s="156"/>
      <c r="B60" s="929" t="s">
        <v>490</v>
      </c>
      <c r="C60" s="929"/>
      <c r="D60" s="141">
        <f>SUM(D5:D59)</f>
        <v>2400000000</v>
      </c>
      <c r="E60" s="142"/>
      <c r="F60" s="76"/>
      <c r="L60" s="75"/>
    </row>
    <row r="61" spans="1:12" x14ac:dyDescent="0.25">
      <c r="A61" s="144"/>
      <c r="B61" s="72"/>
      <c r="C61" s="72"/>
      <c r="D61" s="72"/>
      <c r="E61" s="143"/>
      <c r="F61" s="75"/>
    </row>
    <row r="62" spans="1:12" ht="43.5" customHeight="1" x14ac:dyDescent="0.35">
      <c r="A62" s="920" t="s">
        <v>1093</v>
      </c>
      <c r="B62" s="920"/>
      <c r="C62" s="920"/>
      <c r="D62" s="920"/>
      <c r="E62" s="920"/>
    </row>
    <row r="64" spans="1:12" ht="23.25" x14ac:dyDescent="0.35">
      <c r="A64" s="919" t="s">
        <v>51</v>
      </c>
      <c r="B64" s="919"/>
      <c r="C64" s="919"/>
      <c r="D64" s="919"/>
      <c r="E64" s="919"/>
    </row>
    <row r="65" spans="1:7" ht="23.25" x14ac:dyDescent="0.35">
      <c r="A65" s="162"/>
      <c r="B65" s="162"/>
      <c r="C65" s="162"/>
      <c r="D65" s="162"/>
      <c r="E65" s="162"/>
    </row>
    <row r="66" spans="1:7" ht="30" x14ac:dyDescent="0.25">
      <c r="A66" s="260"/>
      <c r="B66" s="152" t="s">
        <v>1</v>
      </c>
      <c r="C66" s="163" t="s">
        <v>569</v>
      </c>
      <c r="D66" s="170" t="s">
        <v>54</v>
      </c>
      <c r="E66" s="144"/>
    </row>
    <row r="67" spans="1:7" s="264" customFormat="1" ht="24" customHeight="1" x14ac:dyDescent="0.25">
      <c r="A67" s="936" t="s">
        <v>64</v>
      </c>
      <c r="B67" s="152" t="s">
        <v>3</v>
      </c>
      <c r="C67" s="261" t="s">
        <v>1223</v>
      </c>
      <c r="D67" s="262">
        <v>20000000</v>
      </c>
      <c r="E67" s="263"/>
    </row>
    <row r="68" spans="1:7" s="264" customFormat="1" ht="24" customHeight="1" x14ac:dyDescent="0.25">
      <c r="A68" s="936"/>
      <c r="B68" s="152" t="s">
        <v>4</v>
      </c>
      <c r="C68" s="435" t="s">
        <v>1139</v>
      </c>
      <c r="D68" s="436">
        <v>25000000</v>
      </c>
      <c r="E68" s="263"/>
    </row>
    <row r="69" spans="1:7" s="264" customFormat="1" ht="24" customHeight="1" x14ac:dyDescent="0.25">
      <c r="A69" s="936"/>
      <c r="B69" s="152" t="s">
        <v>5</v>
      </c>
      <c r="C69" s="435" t="s">
        <v>1224</v>
      </c>
      <c r="D69" s="436">
        <v>10000000</v>
      </c>
      <c r="E69" s="263"/>
      <c r="F69" s="437">
        <f>SUM(D67:D72)</f>
        <v>320465542</v>
      </c>
      <c r="G69" s="264" t="s">
        <v>757</v>
      </c>
    </row>
    <row r="70" spans="1:7" s="264" customFormat="1" ht="24" customHeight="1" x14ac:dyDescent="0.25">
      <c r="A70" s="936"/>
      <c r="B70" s="152" t="s">
        <v>6</v>
      </c>
      <c r="C70" s="639" t="s">
        <v>1225</v>
      </c>
      <c r="D70" s="640">
        <v>10500000</v>
      </c>
      <c r="E70" s="263"/>
      <c r="F70" s="437"/>
    </row>
    <row r="71" spans="1:7" s="264" customFormat="1" ht="24" customHeight="1" x14ac:dyDescent="0.25">
      <c r="A71" s="936"/>
      <c r="B71" s="152" t="s">
        <v>7</v>
      </c>
      <c r="C71" s="639" t="s">
        <v>1226</v>
      </c>
      <c r="D71" s="640">
        <v>64305542</v>
      </c>
      <c r="E71" s="263"/>
      <c r="F71" s="437"/>
    </row>
    <row r="72" spans="1:7" s="264" customFormat="1" ht="24" customHeight="1" x14ac:dyDescent="0.25">
      <c r="A72" s="936"/>
      <c r="B72" s="152" t="s">
        <v>8</v>
      </c>
      <c r="C72" s="435" t="s">
        <v>1227</v>
      </c>
      <c r="D72" s="436">
        <v>190660000</v>
      </c>
      <c r="E72" s="263"/>
      <c r="F72" s="437"/>
    </row>
    <row r="73" spans="1:7" s="264" customFormat="1" ht="24" customHeight="1" x14ac:dyDescent="0.25">
      <c r="A73" s="936" t="s">
        <v>56</v>
      </c>
      <c r="B73" s="152" t="s">
        <v>9</v>
      </c>
      <c r="C73" s="435" t="s">
        <v>1228</v>
      </c>
      <c r="D73" s="436">
        <v>165100000</v>
      </c>
      <c r="E73" s="263"/>
      <c r="F73" s="437"/>
    </row>
    <row r="74" spans="1:7" s="264" customFormat="1" ht="24" customHeight="1" x14ac:dyDescent="0.25">
      <c r="A74" s="936"/>
      <c r="B74" s="152" t="s">
        <v>23</v>
      </c>
      <c r="C74" s="639" t="s">
        <v>1229</v>
      </c>
      <c r="D74" s="640">
        <v>8255000</v>
      </c>
      <c r="E74" s="263"/>
      <c r="F74" s="437"/>
    </row>
    <row r="75" spans="1:7" s="264" customFormat="1" ht="24" customHeight="1" x14ac:dyDescent="0.25">
      <c r="A75" s="936"/>
      <c r="B75" s="152" t="s">
        <v>25</v>
      </c>
      <c r="C75" s="639" t="s">
        <v>1230</v>
      </c>
      <c r="D75" s="640">
        <v>27940000</v>
      </c>
      <c r="E75" s="263"/>
      <c r="F75" s="437"/>
    </row>
    <row r="76" spans="1:7" s="264" customFormat="1" ht="24" customHeight="1" x14ac:dyDescent="0.25">
      <c r="A76" s="936"/>
      <c r="B76" s="152" t="s">
        <v>27</v>
      </c>
      <c r="C76" s="639" t="s">
        <v>1231</v>
      </c>
      <c r="D76" s="640">
        <v>35560000</v>
      </c>
      <c r="E76" s="263"/>
      <c r="F76" s="437"/>
    </row>
    <row r="77" spans="1:7" s="264" customFormat="1" ht="24" customHeight="1" x14ac:dyDescent="0.25">
      <c r="A77" s="936"/>
      <c r="B77" s="152" t="s">
        <v>30</v>
      </c>
      <c r="C77" s="435" t="s">
        <v>1232</v>
      </c>
      <c r="D77" s="436">
        <v>6985000</v>
      </c>
      <c r="E77" s="263"/>
      <c r="F77" s="437">
        <f>SUM(D73:D77)</f>
        <v>243840000</v>
      </c>
      <c r="G77" s="264" t="s">
        <v>758</v>
      </c>
    </row>
    <row r="78" spans="1:7" x14ac:dyDescent="0.25">
      <c r="F78" s="76"/>
    </row>
    <row r="79" spans="1:7" ht="39.75" customHeight="1" x14ac:dyDescent="0.3">
      <c r="A79" s="921" t="s">
        <v>1094</v>
      </c>
      <c r="B79" s="921"/>
      <c r="C79" s="921"/>
      <c r="D79" s="171">
        <f>SUM(D67:D77)</f>
        <v>564305542</v>
      </c>
      <c r="E79" s="172"/>
      <c r="F79" s="76"/>
    </row>
    <row r="80" spans="1:7" x14ac:dyDescent="0.25">
      <c r="F80" s="76"/>
    </row>
    <row r="81" spans="1:6" ht="21" x14ac:dyDescent="0.35">
      <c r="A81" s="922" t="s">
        <v>570</v>
      </c>
      <c r="B81" s="922"/>
      <c r="C81" s="922"/>
      <c r="D81" s="171">
        <f>+D60+D79</f>
        <v>2964305542</v>
      </c>
    </row>
    <row r="82" spans="1:6" customFormat="1" ht="21" x14ac:dyDescent="0.35">
      <c r="A82" s="334"/>
      <c r="B82" s="334"/>
      <c r="C82" s="334"/>
      <c r="D82" s="335"/>
      <c r="F82" s="386"/>
    </row>
    <row r="83" spans="1:6" x14ac:dyDescent="0.25">
      <c r="C83" s="54" t="s">
        <v>689</v>
      </c>
      <c r="D83" s="333">
        <f>+F59+F69</f>
        <v>2550215542</v>
      </c>
    </row>
    <row r="84" spans="1:6" x14ac:dyDescent="0.25">
      <c r="C84" s="54" t="s">
        <v>690</v>
      </c>
      <c r="D84" s="333">
        <f>+F24+F77</f>
        <v>414090000</v>
      </c>
    </row>
    <row r="85" spans="1:6" x14ac:dyDescent="0.25">
      <c r="C85" s="54" t="s">
        <v>691</v>
      </c>
      <c r="D85" s="333">
        <f>SUM(D83:D84)</f>
        <v>2964305542</v>
      </c>
    </row>
    <row r="86" spans="1:6" x14ac:dyDescent="0.25">
      <c r="E86" s="76">
        <f>+'13.b.sz.m.Maradványkim.-Önk'!F36</f>
        <v>2964305542</v>
      </c>
      <c r="F86" s="333">
        <f>+F69+F77</f>
        <v>564305542</v>
      </c>
    </row>
    <row r="87" spans="1:6" x14ac:dyDescent="0.25">
      <c r="E87" s="75">
        <f>+D81</f>
        <v>2964305542</v>
      </c>
    </row>
    <row r="88" spans="1:6" x14ac:dyDescent="0.25">
      <c r="E88" s="75">
        <f>+E86-E87</f>
        <v>0</v>
      </c>
    </row>
    <row r="89" spans="1:6" x14ac:dyDescent="0.25">
      <c r="E89" s="804">
        <v>564305542</v>
      </c>
    </row>
    <row r="91" spans="1:6" x14ac:dyDescent="0.25">
      <c r="E91" s="519"/>
    </row>
  </sheetData>
  <mergeCells count="13">
    <mergeCell ref="A1:E1"/>
    <mergeCell ref="A3:E3"/>
    <mergeCell ref="A79:C79"/>
    <mergeCell ref="A81:C81"/>
    <mergeCell ref="E5:E24"/>
    <mergeCell ref="E25:E59"/>
    <mergeCell ref="A62:E62"/>
    <mergeCell ref="A64:E64"/>
    <mergeCell ref="B60:C60"/>
    <mergeCell ref="A25:A59"/>
    <mergeCell ref="A5:A24"/>
    <mergeCell ref="A73:A77"/>
    <mergeCell ref="A67:A72"/>
  </mergeCells>
  <phoneticPr fontId="120" type="noConversion"/>
  <printOptions horizontalCentered="1" verticalCentered="1"/>
  <pageMargins left="0.39370078740157483" right="0.39370078740157483" top="0" bottom="0" header="0.31496062992125984" footer="0.31496062992125984"/>
  <pageSetup paperSize="9" scale="50" orientation="portrait" r:id="rId1"/>
  <headerFooter>
    <oddHeader>&amp;CDunaharaszti Város Önkormányzat 
2022. évi zárszámadás&amp;R&amp;A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1"/>
  <sheetViews>
    <sheetView view="pageBreakPreview" zoomScale="70" zoomScaleNormal="70" zoomScaleSheetLayoutView="70" zoomScalePageLayoutView="70" workbookViewId="0">
      <selection activeCell="M13" sqref="M13"/>
    </sheetView>
  </sheetViews>
  <sheetFormatPr defaultColWidth="20.5703125" defaultRowHeight="14.25" customHeight="1" x14ac:dyDescent="0.25"/>
  <cols>
    <col min="1" max="1" width="4.7109375" style="32" customWidth="1"/>
    <col min="2" max="2" width="43" style="32" customWidth="1"/>
    <col min="3" max="4" width="21.28515625" style="44" customWidth="1"/>
    <col min="5" max="5" width="24.28515625" style="44" customWidth="1"/>
    <col min="6" max="7" width="20.28515625" style="44" customWidth="1"/>
    <col min="8" max="8" width="10.85546875" style="44" customWidth="1"/>
    <col min="9" max="9" width="20.7109375" style="44" customWidth="1"/>
    <col min="10" max="10" width="19.5703125" style="45" customWidth="1"/>
    <col min="11" max="11" width="20.5703125" style="45" customWidth="1"/>
    <col min="12" max="12" width="17.28515625" style="46" customWidth="1"/>
    <col min="13" max="13" width="22.140625" style="510" customWidth="1"/>
    <col min="14" max="14" width="23.85546875" style="32" customWidth="1"/>
    <col min="15" max="16384" width="20.5703125" style="32"/>
  </cols>
  <sheetData>
    <row r="1" spans="1:14" ht="30" customHeight="1" x14ac:dyDescent="0.35">
      <c r="A1" s="33"/>
      <c r="B1" s="45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87.75" customHeight="1" x14ac:dyDescent="0.35">
      <c r="A2" s="946" t="s">
        <v>779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33"/>
    </row>
    <row r="3" spans="1:14" ht="38.25" customHeight="1" x14ac:dyDescent="0.35">
      <c r="A3" s="946" t="s">
        <v>780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33"/>
    </row>
    <row r="4" spans="1:14" ht="38.25" customHeight="1" x14ac:dyDescent="0.35">
      <c r="A4" s="946"/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33"/>
    </row>
    <row r="5" spans="1:14" ht="61.5" customHeight="1" x14ac:dyDescent="0.25"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1:14" s="33" customFormat="1" ht="29.25" customHeight="1" x14ac:dyDescent="0.25">
      <c r="A6" s="947"/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509"/>
    </row>
    <row r="7" spans="1:14" s="33" customFormat="1" ht="9" customHeight="1" x14ac:dyDescent="0.25">
      <c r="B7" s="34"/>
      <c r="C7" s="35"/>
      <c r="D7" s="35"/>
      <c r="E7" s="35"/>
      <c r="F7" s="35"/>
      <c r="G7" s="35"/>
      <c r="H7" s="35"/>
      <c r="I7" s="35"/>
      <c r="J7" s="36"/>
      <c r="K7" s="36"/>
      <c r="L7" s="37"/>
      <c r="M7" s="509"/>
    </row>
    <row r="8" spans="1:14" s="266" customFormat="1" ht="50.25" customHeight="1" x14ac:dyDescent="0.25">
      <c r="A8" s="948" t="s">
        <v>62</v>
      </c>
      <c r="B8" s="950" t="s">
        <v>781</v>
      </c>
      <c r="C8" s="950" t="s">
        <v>956</v>
      </c>
      <c r="D8" s="952" t="s">
        <v>782</v>
      </c>
      <c r="E8" s="953"/>
      <c r="F8" s="950" t="s">
        <v>957</v>
      </c>
      <c r="G8" s="520" t="s">
        <v>783</v>
      </c>
      <c r="H8" s="952" t="s">
        <v>784</v>
      </c>
      <c r="I8" s="953"/>
      <c r="J8" s="521" t="s">
        <v>996</v>
      </c>
      <c r="K8" s="939" t="s">
        <v>785</v>
      </c>
      <c r="L8" s="950" t="s">
        <v>786</v>
      </c>
      <c r="M8" s="522" t="s">
        <v>41</v>
      </c>
    </row>
    <row r="9" spans="1:14" s="266" customFormat="1" ht="58.5" customHeight="1" x14ac:dyDescent="0.25">
      <c r="A9" s="949"/>
      <c r="B9" s="951"/>
      <c r="C9" s="950"/>
      <c r="D9" s="523" t="s">
        <v>787</v>
      </c>
      <c r="E9" s="523" t="s">
        <v>788</v>
      </c>
      <c r="F9" s="950"/>
      <c r="G9" s="523"/>
      <c r="H9" s="523" t="s">
        <v>76</v>
      </c>
      <c r="I9" s="523" t="s">
        <v>77</v>
      </c>
      <c r="J9" s="641" t="s">
        <v>945</v>
      </c>
      <c r="K9" s="939"/>
      <c r="L9" s="950"/>
      <c r="M9" s="524" t="s">
        <v>680</v>
      </c>
    </row>
    <row r="10" spans="1:14" s="451" customFormat="1" ht="39.75" customHeight="1" x14ac:dyDescent="0.25">
      <c r="A10" s="525" t="s">
        <v>3</v>
      </c>
      <c r="B10" s="525" t="s">
        <v>789</v>
      </c>
      <c r="C10" s="526">
        <v>648000000</v>
      </c>
      <c r="D10" s="526"/>
      <c r="E10" s="526"/>
      <c r="F10" s="526">
        <v>648000000</v>
      </c>
      <c r="G10" s="526"/>
      <c r="H10" s="658">
        <v>0.45250000000000001</v>
      </c>
      <c r="I10" s="526">
        <f>+F10*H10</f>
        <v>293220000</v>
      </c>
      <c r="J10" s="528">
        <f>+F10-I10</f>
        <v>354780000</v>
      </c>
      <c r="K10" s="529" t="s">
        <v>790</v>
      </c>
      <c r="L10" s="530">
        <v>16222</v>
      </c>
      <c r="M10" s="531" t="s">
        <v>79</v>
      </c>
    </row>
    <row r="11" spans="1:14" s="451" customFormat="1" ht="39.75" customHeight="1" x14ac:dyDescent="0.25">
      <c r="A11" s="525" t="s">
        <v>4</v>
      </c>
      <c r="B11" s="532" t="s">
        <v>791</v>
      </c>
      <c r="C11" s="526">
        <v>10000</v>
      </c>
      <c r="D11" s="533"/>
      <c r="E11" s="526"/>
      <c r="F11" s="526">
        <v>10000</v>
      </c>
      <c r="G11" s="526">
        <v>13200</v>
      </c>
      <c r="H11" s="527">
        <v>0</v>
      </c>
      <c r="I11" s="526"/>
      <c r="J11" s="528">
        <v>23200</v>
      </c>
      <c r="K11" s="534" t="s">
        <v>792</v>
      </c>
      <c r="L11" s="530">
        <v>16213</v>
      </c>
      <c r="M11" s="535">
        <f>(10000/1380000000)</f>
        <v>7.2463768115942025E-6</v>
      </c>
    </row>
    <row r="12" spans="1:14" s="451" customFormat="1" ht="39.75" customHeight="1" x14ac:dyDescent="0.25">
      <c r="A12" s="525" t="s">
        <v>5</v>
      </c>
      <c r="B12" s="532" t="s">
        <v>869</v>
      </c>
      <c r="C12" s="526">
        <v>49970000</v>
      </c>
      <c r="D12" s="533"/>
      <c r="E12" s="526"/>
      <c r="F12" s="526">
        <f>+C12</f>
        <v>49970000</v>
      </c>
      <c r="G12" s="526"/>
      <c r="H12" s="527">
        <v>0</v>
      </c>
      <c r="I12" s="526"/>
      <c r="J12" s="528">
        <f>+F12</f>
        <v>49970000</v>
      </c>
      <c r="K12" s="534" t="s">
        <v>870</v>
      </c>
      <c r="L12" s="530">
        <v>16223</v>
      </c>
      <c r="M12" s="536">
        <v>0.26300000000000001</v>
      </c>
    </row>
    <row r="13" spans="1:14" s="38" customFormat="1" ht="39.75" customHeight="1" x14ac:dyDescent="0.25">
      <c r="A13" s="940" t="s">
        <v>80</v>
      </c>
      <c r="B13" s="940"/>
      <c r="C13" s="537">
        <f>SUM(C10:C12)</f>
        <v>697980000</v>
      </c>
      <c r="D13" s="537">
        <f>SUM(D10:D12)</f>
        <v>0</v>
      </c>
      <c r="E13" s="537">
        <f>SUM(E10:E12)</f>
        <v>0</v>
      </c>
      <c r="F13" s="537">
        <f>SUM(F10:F12)</f>
        <v>697980000</v>
      </c>
      <c r="G13" s="537">
        <f>SUM(G10:G12)</f>
        <v>13200</v>
      </c>
      <c r="H13" s="538"/>
      <c r="I13" s="537">
        <f>SUM(I10:I12)</f>
        <v>293220000</v>
      </c>
      <c r="J13" s="537">
        <f>SUM(J10:J12)</f>
        <v>404773200</v>
      </c>
      <c r="K13" s="539"/>
      <c r="L13" s="540"/>
      <c r="M13" s="541"/>
      <c r="N13" s="267"/>
    </row>
    <row r="14" spans="1:14" s="268" customFormat="1" ht="36.75" customHeight="1" x14ac:dyDescent="0.25">
      <c r="C14" s="39"/>
      <c r="D14" s="39"/>
      <c r="E14" s="39"/>
      <c r="F14" s="39"/>
      <c r="G14" s="39"/>
      <c r="H14" s="39"/>
      <c r="I14" s="39"/>
      <c r="J14" s="39"/>
      <c r="K14" s="39"/>
      <c r="L14" s="269"/>
    </row>
    <row r="15" spans="1:14" s="268" customFormat="1" ht="46.5" customHeight="1" x14ac:dyDescent="0.25">
      <c r="A15" s="941"/>
      <c r="B15" s="941"/>
      <c r="C15" s="941"/>
      <c r="D15" s="941"/>
      <c r="E15" s="941"/>
      <c r="F15" s="941"/>
      <c r="G15" s="941"/>
      <c r="H15" s="941"/>
      <c r="I15" s="941"/>
      <c r="J15" s="941"/>
      <c r="K15" s="941"/>
      <c r="L15" s="941"/>
    </row>
    <row r="16" spans="1:14" s="33" customFormat="1" ht="36.75" customHeight="1" x14ac:dyDescent="0.25">
      <c r="A16" s="942"/>
      <c r="B16" s="942"/>
      <c r="C16" s="942"/>
      <c r="D16" s="942"/>
      <c r="E16" s="942"/>
      <c r="F16" s="942"/>
      <c r="G16" s="942"/>
      <c r="H16" s="942"/>
      <c r="I16" s="942"/>
      <c r="J16" s="942"/>
      <c r="K16" s="942"/>
      <c r="L16" s="942"/>
      <c r="M16" s="942"/>
      <c r="N16" s="32"/>
    </row>
    <row r="17" spans="1:14" s="33" customFormat="1" ht="18" hidden="1" customHeight="1" x14ac:dyDescent="0.25">
      <c r="C17" s="40"/>
      <c r="D17" s="40"/>
      <c r="E17" s="40"/>
      <c r="F17" s="40"/>
      <c r="G17" s="40"/>
      <c r="H17" s="40"/>
      <c r="I17" s="40"/>
      <c r="J17" s="41"/>
      <c r="K17" s="41"/>
      <c r="L17" s="37"/>
      <c r="M17" s="509"/>
      <c r="N17" s="32"/>
    </row>
    <row r="18" spans="1:14" s="33" customFormat="1" ht="18" customHeight="1" x14ac:dyDescent="0.25">
      <c r="C18" s="40"/>
      <c r="D18" s="40"/>
      <c r="E18" s="40"/>
      <c r="F18" s="40"/>
      <c r="G18" s="40"/>
      <c r="H18" s="40"/>
      <c r="I18" s="40"/>
      <c r="J18" s="41"/>
      <c r="K18" s="41"/>
      <c r="L18" s="37"/>
      <c r="M18" s="509"/>
      <c r="N18" s="32"/>
    </row>
    <row r="19" spans="1:14" s="33" customFormat="1" ht="25.5" customHeight="1" x14ac:dyDescent="0.3">
      <c r="A19" s="943"/>
      <c r="B19" s="943"/>
      <c r="C19" s="943"/>
      <c r="D19" s="943"/>
      <c r="E19" s="943"/>
      <c r="F19" s="943"/>
      <c r="G19" s="943"/>
      <c r="H19" s="943"/>
      <c r="I19" s="943"/>
      <c r="J19" s="943"/>
      <c r="K19" s="943"/>
      <c r="L19" s="943"/>
      <c r="N19" s="32"/>
    </row>
    <row r="20" spans="1:14" s="33" customFormat="1" ht="85.5" customHeight="1" x14ac:dyDescent="0.25">
      <c r="A20" s="510"/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N20" s="32"/>
    </row>
    <row r="21" spans="1:14" s="33" customFormat="1" ht="18" customHeight="1" x14ac:dyDescent="0.25">
      <c r="A21" s="944"/>
      <c r="B21" s="944"/>
      <c r="C21" s="511"/>
      <c r="D21" s="511"/>
      <c r="E21" s="511"/>
      <c r="F21" s="511"/>
      <c r="G21" s="511"/>
      <c r="H21" s="945"/>
      <c r="I21" s="945"/>
      <c r="J21" s="46"/>
      <c r="K21" s="46"/>
      <c r="L21" s="510"/>
      <c r="N21" s="32"/>
    </row>
    <row r="22" spans="1:14" s="33" customFormat="1" ht="30.75" customHeight="1" x14ac:dyDescent="0.25">
      <c r="A22" s="937"/>
      <c r="B22" s="937"/>
      <c r="C22" s="62"/>
      <c r="D22" s="62"/>
      <c r="E22" s="62"/>
      <c r="F22" s="422"/>
      <c r="G22" s="422"/>
      <c r="H22" s="938"/>
      <c r="I22" s="938"/>
      <c r="J22" s="37"/>
      <c r="K22" s="62"/>
      <c r="L22" s="37"/>
      <c r="N22" s="32"/>
    </row>
    <row r="23" spans="1:14" s="270" customFormat="1" ht="33" customHeight="1" x14ac:dyDescent="0.25">
      <c r="B23" s="271"/>
      <c r="C23" s="42"/>
      <c r="D23" s="42"/>
      <c r="E23" s="42"/>
      <c r="F23" s="42"/>
      <c r="G23" s="42"/>
      <c r="H23" s="42"/>
      <c r="I23" s="42"/>
      <c r="J23" s="42"/>
      <c r="K23" s="42"/>
      <c r="L23" s="272"/>
      <c r="M23" s="271"/>
      <c r="N23" s="273"/>
    </row>
    <row r="24" spans="1:14" s="33" customFormat="1" ht="14.25" customHeight="1" x14ac:dyDescent="0.25">
      <c r="C24" s="43"/>
      <c r="D24" s="43"/>
      <c r="E24" s="43"/>
      <c r="F24" s="43"/>
      <c r="G24" s="43"/>
      <c r="H24" s="43"/>
      <c r="I24" s="43"/>
      <c r="J24" s="422"/>
      <c r="K24" s="422"/>
      <c r="L24" s="37"/>
      <c r="M24" s="509"/>
      <c r="N24" s="32"/>
    </row>
    <row r="25" spans="1:14" s="33" customFormat="1" ht="21.75" customHeight="1" x14ac:dyDescent="0.25">
      <c r="C25" s="43"/>
      <c r="D25" s="43"/>
      <c r="E25" s="43"/>
      <c r="F25" s="43"/>
      <c r="G25" s="43"/>
      <c r="H25" s="43"/>
      <c r="I25" s="43"/>
      <c r="J25" s="422"/>
      <c r="K25" s="422"/>
      <c r="L25" s="37"/>
      <c r="M25" s="509"/>
      <c r="N25" s="32"/>
    </row>
    <row r="27" spans="1:14" ht="14.25" customHeight="1" x14ac:dyDescent="0.25">
      <c r="N27" s="33"/>
    </row>
    <row r="28" spans="1:14" s="33" customFormat="1" ht="21" customHeight="1" x14ac:dyDescent="0.25">
      <c r="N28" s="32"/>
    </row>
    <row r="29" spans="1:14" ht="7.5" customHeight="1" x14ac:dyDescent="0.25">
      <c r="N29" s="33"/>
    </row>
    <row r="30" spans="1:14" s="33" customFormat="1" ht="14.25" customHeight="1" x14ac:dyDescent="0.25">
      <c r="N30" s="32"/>
    </row>
    <row r="31" spans="1:14" ht="7.5" customHeight="1" x14ac:dyDescent="0.25"/>
  </sheetData>
  <mergeCells count="20">
    <mergeCell ref="A2:M2"/>
    <mergeCell ref="A3:M3"/>
    <mergeCell ref="A4:M4"/>
    <mergeCell ref="A6:L6"/>
    <mergeCell ref="A8:A9"/>
    <mergeCell ref="B8:B9"/>
    <mergeCell ref="C8:C9"/>
    <mergeCell ref="D8:E8"/>
    <mergeCell ref="F8:F9"/>
    <mergeCell ref="H8:I8"/>
    <mergeCell ref="L8:L9"/>
    <mergeCell ref="A22:B22"/>
    <mergeCell ref="H22:I22"/>
    <mergeCell ref="K8:K9"/>
    <mergeCell ref="A13:B13"/>
    <mergeCell ref="A15:L15"/>
    <mergeCell ref="A16:M16"/>
    <mergeCell ref="A19:L19"/>
    <mergeCell ref="A21:B21"/>
    <mergeCell ref="H21:I21"/>
  </mergeCells>
  <pageMargins left="0.7" right="0.7" top="0.75" bottom="0.75" header="0.3" footer="0.3"/>
  <pageSetup paperSize="9" scale="49" orientation="landscape" r:id="rId1"/>
  <headerFooter alignWithMargins="0">
    <oddHeader>&amp;C&amp;"-,Félkövér"&amp;14Dunaharaszti Város Önkormányzata 2022. évi zárszámadás&amp;R&amp;"-,Félkövér"&amp;A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V87"/>
  <sheetViews>
    <sheetView view="pageBreakPreview" zoomScaleNormal="100" zoomScaleSheetLayoutView="100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H60" sqref="H60"/>
    </sheetView>
  </sheetViews>
  <sheetFormatPr defaultColWidth="9.140625" defaultRowHeight="15" x14ac:dyDescent="0.25"/>
  <cols>
    <col min="1" max="1" width="4.28515625" customWidth="1"/>
    <col min="2" max="2" width="41" customWidth="1"/>
    <col min="3" max="3" width="18.5703125" customWidth="1"/>
    <col min="4" max="4" width="18" bestFit="1" customWidth="1"/>
    <col min="5" max="5" width="15.42578125" customWidth="1"/>
    <col min="6" max="8" width="15.7109375" bestFit="1" customWidth="1"/>
    <col min="9" max="9" width="16" customWidth="1"/>
    <col min="10" max="10" width="15.7109375" customWidth="1"/>
    <col min="11" max="21" width="15.7109375" bestFit="1" customWidth="1"/>
    <col min="22" max="22" width="17" bestFit="1" customWidth="1"/>
  </cols>
  <sheetData>
    <row r="1" spans="1:22" ht="36" customHeight="1" x14ac:dyDescent="0.25">
      <c r="A1" s="955" t="s">
        <v>2</v>
      </c>
      <c r="B1" s="955"/>
      <c r="C1" s="958" t="s">
        <v>51</v>
      </c>
      <c r="D1" s="959"/>
      <c r="E1" s="957" t="s">
        <v>11</v>
      </c>
      <c r="F1" s="957"/>
      <c r="G1" s="957" t="s">
        <v>12</v>
      </c>
      <c r="H1" s="957"/>
      <c r="I1" s="957" t="s">
        <v>14</v>
      </c>
      <c r="J1" s="957"/>
      <c r="K1" s="957" t="s">
        <v>15</v>
      </c>
      <c r="L1" s="957"/>
      <c r="M1" s="956" t="s">
        <v>38</v>
      </c>
      <c r="N1" s="956"/>
      <c r="O1" s="956" t="s">
        <v>595</v>
      </c>
      <c r="P1" s="956"/>
      <c r="Q1" s="957" t="s">
        <v>13</v>
      </c>
      <c r="R1" s="957"/>
      <c r="S1" s="957" t="s">
        <v>596</v>
      </c>
      <c r="T1" s="957"/>
      <c r="U1" s="957" t="s">
        <v>597</v>
      </c>
      <c r="V1" s="957"/>
    </row>
    <row r="2" spans="1:22" ht="18" customHeight="1" x14ac:dyDescent="0.25">
      <c r="A2" s="955"/>
      <c r="B2" s="955"/>
      <c r="C2" s="621" t="s">
        <v>255</v>
      </c>
      <c r="D2" s="621" t="s">
        <v>251</v>
      </c>
      <c r="E2" s="621" t="s">
        <v>255</v>
      </c>
      <c r="F2" s="621" t="s">
        <v>251</v>
      </c>
      <c r="G2" s="621" t="s">
        <v>255</v>
      </c>
      <c r="H2" s="621" t="s">
        <v>251</v>
      </c>
      <c r="I2" s="621" t="s">
        <v>255</v>
      </c>
      <c r="J2" s="621" t="s">
        <v>251</v>
      </c>
      <c r="K2" s="621" t="s">
        <v>255</v>
      </c>
      <c r="L2" s="621" t="s">
        <v>251</v>
      </c>
      <c r="M2" s="621" t="s">
        <v>255</v>
      </c>
      <c r="N2" s="621" t="s">
        <v>251</v>
      </c>
      <c r="O2" s="621" t="s">
        <v>255</v>
      </c>
      <c r="P2" s="621" t="s">
        <v>251</v>
      </c>
      <c r="Q2" s="621" t="s">
        <v>255</v>
      </c>
      <c r="R2" s="621" t="s">
        <v>251</v>
      </c>
      <c r="S2" s="621" t="s">
        <v>255</v>
      </c>
      <c r="T2" s="621" t="s">
        <v>251</v>
      </c>
      <c r="U2" s="621" t="s">
        <v>255</v>
      </c>
      <c r="V2" s="621" t="s">
        <v>251</v>
      </c>
    </row>
    <row r="3" spans="1:22" ht="29.25" customHeight="1" x14ac:dyDescent="0.25">
      <c r="A3" s="954" t="s">
        <v>400</v>
      </c>
      <c r="B3" s="954"/>
      <c r="C3" s="622">
        <f>SUM(C4,C7,C33,C49)</f>
        <v>33093207171</v>
      </c>
      <c r="D3" s="622">
        <f>SUM(D4,D7,D33,D49)</f>
        <v>24668485743</v>
      </c>
      <c r="E3" s="622">
        <f t="shared" ref="E3:R3" si="0">SUM(E4,E7,E33,E49)</f>
        <v>174881192</v>
      </c>
      <c r="F3" s="622">
        <f t="shared" si="0"/>
        <v>26985225</v>
      </c>
      <c r="G3" s="622">
        <f t="shared" si="0"/>
        <v>28658470</v>
      </c>
      <c r="H3" s="622">
        <f t="shared" si="0"/>
        <v>5502580</v>
      </c>
      <c r="I3" s="622">
        <f t="shared" si="0"/>
        <v>63105790</v>
      </c>
      <c r="J3" s="622">
        <f t="shared" si="0"/>
        <v>6504567</v>
      </c>
      <c r="K3" s="622">
        <f t="shared" si="0"/>
        <v>24545008</v>
      </c>
      <c r="L3" s="622">
        <f t="shared" si="0"/>
        <v>5481075</v>
      </c>
      <c r="M3" s="622">
        <f t="shared" si="0"/>
        <v>7336490</v>
      </c>
      <c r="N3" s="622">
        <f t="shared" si="0"/>
        <v>718330</v>
      </c>
      <c r="O3" s="622">
        <f t="shared" si="0"/>
        <v>110786235</v>
      </c>
      <c r="P3" s="622">
        <f t="shared" si="0"/>
        <v>990296</v>
      </c>
      <c r="Q3" s="622">
        <f t="shared" si="0"/>
        <v>83895695</v>
      </c>
      <c r="R3" s="622">
        <f t="shared" si="0"/>
        <v>9604377</v>
      </c>
      <c r="S3" s="622">
        <f>SUM(S4,S7,S33,S49)</f>
        <v>30517508</v>
      </c>
      <c r="T3" s="622">
        <f>SUM(T4,T7,T33,T49)</f>
        <v>3012897</v>
      </c>
      <c r="U3" s="622">
        <f>SUM(U4,U7,U33,U49)</f>
        <v>63540991</v>
      </c>
      <c r="V3" s="622">
        <f>SUM(V4,V7,V33,V49)</f>
        <v>2920554</v>
      </c>
    </row>
    <row r="4" spans="1:22" x14ac:dyDescent="0.25">
      <c r="A4" s="623"/>
      <c r="B4" s="623" t="s">
        <v>401</v>
      </c>
      <c r="C4" s="622">
        <f>SUM(C5:C6)</f>
        <v>92032948</v>
      </c>
      <c r="D4" s="622">
        <f t="shared" ref="D4:R4" si="1">SUM(D5:D6)</f>
        <v>6333678</v>
      </c>
      <c r="E4" s="622">
        <f t="shared" si="1"/>
        <v>18635190</v>
      </c>
      <c r="F4" s="622">
        <f t="shared" si="1"/>
        <v>407544</v>
      </c>
      <c r="G4" s="622">
        <f t="shared" si="1"/>
        <v>427374</v>
      </c>
      <c r="H4" s="622">
        <f t="shared" si="1"/>
        <v>6493</v>
      </c>
      <c r="I4" s="622">
        <f t="shared" si="1"/>
        <v>48750</v>
      </c>
      <c r="J4" s="622">
        <f t="shared" si="1"/>
        <v>0</v>
      </c>
      <c r="K4" s="622">
        <f t="shared" si="1"/>
        <v>247082</v>
      </c>
      <c r="L4" s="622">
        <f t="shared" si="1"/>
        <v>0</v>
      </c>
      <c r="M4" s="622">
        <f t="shared" si="1"/>
        <v>0</v>
      </c>
      <c r="N4" s="622">
        <f t="shared" si="1"/>
        <v>0</v>
      </c>
      <c r="O4" s="622">
        <f>SUM(O5:O6)</f>
        <v>99418256</v>
      </c>
      <c r="P4" s="622">
        <f t="shared" si="1"/>
        <v>51083</v>
      </c>
      <c r="Q4" s="622">
        <f t="shared" si="1"/>
        <v>4941892</v>
      </c>
      <c r="R4" s="622">
        <f t="shared" si="1"/>
        <v>396048</v>
      </c>
      <c r="S4" s="622">
        <f>SUM(S5:S6)</f>
        <v>258750</v>
      </c>
      <c r="T4" s="622">
        <f>SUM(T5:T6)</f>
        <v>0</v>
      </c>
      <c r="U4" s="622">
        <f>SUM(U5:U6)</f>
        <v>50000</v>
      </c>
      <c r="V4" s="622">
        <f>SUM(V5:V6)</f>
        <v>0</v>
      </c>
    </row>
    <row r="5" spans="1:22" x14ac:dyDescent="0.25">
      <c r="A5" s="624"/>
      <c r="B5" s="625" t="s">
        <v>402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</row>
    <row r="6" spans="1:22" x14ac:dyDescent="0.25">
      <c r="A6" s="624"/>
      <c r="B6" s="625" t="s">
        <v>403</v>
      </c>
      <c r="C6" s="627">
        <v>92032948</v>
      </c>
      <c r="D6" s="627">
        <v>6333678</v>
      </c>
      <c r="E6" s="626">
        <v>18635190</v>
      </c>
      <c r="F6" s="626">
        <v>407544</v>
      </c>
      <c r="G6" s="626">
        <v>427374</v>
      </c>
      <c r="H6" s="626">
        <v>6493</v>
      </c>
      <c r="I6" s="626">
        <v>48750</v>
      </c>
      <c r="J6" s="626">
        <v>0</v>
      </c>
      <c r="K6" s="626">
        <v>247082</v>
      </c>
      <c r="L6" s="626">
        <v>0</v>
      </c>
      <c r="M6" s="626">
        <v>0</v>
      </c>
      <c r="N6" s="626">
        <v>0</v>
      </c>
      <c r="O6" s="626">
        <v>99418256</v>
      </c>
      <c r="P6" s="626">
        <v>51083</v>
      </c>
      <c r="Q6" s="628">
        <v>4941892</v>
      </c>
      <c r="R6" s="628">
        <v>396048</v>
      </c>
      <c r="S6" s="626">
        <v>258750</v>
      </c>
      <c r="T6" s="626">
        <v>0</v>
      </c>
      <c r="U6" s="626">
        <v>50000</v>
      </c>
      <c r="V6" s="626">
        <v>0</v>
      </c>
    </row>
    <row r="7" spans="1:22" x14ac:dyDescent="0.25">
      <c r="A7" s="623"/>
      <c r="B7" s="623" t="s">
        <v>404</v>
      </c>
      <c r="C7" s="622">
        <f>+C8+C13+C18+C23+C28</f>
        <v>31878993863</v>
      </c>
      <c r="D7" s="629">
        <f>+D8+D13+D18+D23+D28</f>
        <v>23898280141</v>
      </c>
      <c r="E7" s="622">
        <f t="shared" ref="E7:V7" si="2">+E8+E13+E18+E23+E28</f>
        <v>156246002</v>
      </c>
      <c r="F7" s="622">
        <f t="shared" si="2"/>
        <v>26577681</v>
      </c>
      <c r="G7" s="622">
        <f t="shared" si="2"/>
        <v>28231096</v>
      </c>
      <c r="H7" s="622">
        <f t="shared" si="2"/>
        <v>5496087</v>
      </c>
      <c r="I7" s="622">
        <f t="shared" si="2"/>
        <v>63057040</v>
      </c>
      <c r="J7" s="622">
        <f t="shared" si="2"/>
        <v>6504567</v>
      </c>
      <c r="K7" s="622">
        <f t="shared" si="2"/>
        <v>24297926</v>
      </c>
      <c r="L7" s="622">
        <f t="shared" si="2"/>
        <v>5481075</v>
      </c>
      <c r="M7" s="622">
        <f t="shared" si="2"/>
        <v>7336490</v>
      </c>
      <c r="N7" s="622">
        <f t="shared" si="2"/>
        <v>718330</v>
      </c>
      <c r="O7" s="622">
        <f>+O8+O13+O18+O23+O28</f>
        <v>11367979</v>
      </c>
      <c r="P7" s="622">
        <f t="shared" si="2"/>
        <v>939213</v>
      </c>
      <c r="Q7" s="622">
        <f t="shared" si="2"/>
        <v>78953803</v>
      </c>
      <c r="R7" s="622">
        <f t="shared" si="2"/>
        <v>9208329</v>
      </c>
      <c r="S7" s="622">
        <f t="shared" si="2"/>
        <v>30258758</v>
      </c>
      <c r="T7" s="622">
        <f t="shared" si="2"/>
        <v>3012897</v>
      </c>
      <c r="U7" s="622">
        <f t="shared" si="2"/>
        <v>63490991</v>
      </c>
      <c r="V7" s="622">
        <f t="shared" si="2"/>
        <v>2920554</v>
      </c>
    </row>
    <row r="8" spans="1:22" ht="30" x14ac:dyDescent="0.25">
      <c r="A8" s="624"/>
      <c r="B8" s="630" t="s">
        <v>405</v>
      </c>
      <c r="C8" s="626">
        <f t="shared" ref="C8:D8" si="3">SUM(C9:C12)</f>
        <v>29962456092</v>
      </c>
      <c r="D8" s="626">
        <f t="shared" si="3"/>
        <v>22688589781</v>
      </c>
      <c r="E8" s="626">
        <f t="shared" ref="E8:V8" si="4">SUM(E9:E12)</f>
        <v>0</v>
      </c>
      <c r="F8" s="626">
        <f t="shared" si="4"/>
        <v>0</v>
      </c>
      <c r="G8" s="626">
        <f t="shared" si="4"/>
        <v>0</v>
      </c>
      <c r="H8" s="626">
        <f t="shared" si="4"/>
        <v>0</v>
      </c>
      <c r="I8" s="626">
        <f t="shared" si="4"/>
        <v>0</v>
      </c>
      <c r="J8" s="626">
        <f t="shared" si="4"/>
        <v>0</v>
      </c>
      <c r="K8" s="626">
        <f t="shared" si="4"/>
        <v>0</v>
      </c>
      <c r="L8" s="626">
        <f t="shared" si="4"/>
        <v>0</v>
      </c>
      <c r="M8" s="626">
        <f t="shared" si="4"/>
        <v>0</v>
      </c>
      <c r="N8" s="626">
        <f t="shared" si="4"/>
        <v>0</v>
      </c>
      <c r="O8" s="626">
        <f t="shared" si="4"/>
        <v>0</v>
      </c>
      <c r="P8" s="626">
        <f t="shared" si="4"/>
        <v>0</v>
      </c>
      <c r="Q8" s="626">
        <f t="shared" si="4"/>
        <v>0</v>
      </c>
      <c r="R8" s="626">
        <f t="shared" si="4"/>
        <v>0</v>
      </c>
      <c r="S8" s="626">
        <f t="shared" si="4"/>
        <v>0</v>
      </c>
      <c r="T8" s="626">
        <f t="shared" si="4"/>
        <v>0</v>
      </c>
      <c r="U8" s="626">
        <f t="shared" si="4"/>
        <v>0</v>
      </c>
      <c r="V8" s="626">
        <f t="shared" si="4"/>
        <v>0</v>
      </c>
    </row>
    <row r="9" spans="1:22" ht="30" x14ac:dyDescent="0.25">
      <c r="A9" s="624"/>
      <c r="B9" s="625" t="s">
        <v>406</v>
      </c>
      <c r="C9" s="626">
        <v>19394573334</v>
      </c>
      <c r="D9" s="626">
        <v>14785604034</v>
      </c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</row>
    <row r="10" spans="1:22" ht="30" x14ac:dyDescent="0.25">
      <c r="A10" s="624"/>
      <c r="B10" s="625" t="s">
        <v>407</v>
      </c>
      <c r="C10" s="626">
        <v>92041284</v>
      </c>
      <c r="D10" s="626">
        <v>71969171</v>
      </c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</row>
    <row r="11" spans="1:22" ht="30" x14ac:dyDescent="0.25">
      <c r="A11" s="624"/>
      <c r="B11" s="625" t="s">
        <v>408</v>
      </c>
      <c r="C11" s="626">
        <v>9360407136</v>
      </c>
      <c r="D11" s="626">
        <v>6763050287</v>
      </c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</row>
    <row r="12" spans="1:22" ht="30" x14ac:dyDescent="0.25">
      <c r="A12" s="624"/>
      <c r="B12" s="625" t="s">
        <v>409</v>
      </c>
      <c r="C12" s="626">
        <v>1115434338</v>
      </c>
      <c r="D12" s="626">
        <v>1067966289</v>
      </c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</row>
    <row r="13" spans="1:22" s="385" customFormat="1" ht="30" x14ac:dyDescent="0.25">
      <c r="A13" s="623"/>
      <c r="B13" s="623" t="s">
        <v>410</v>
      </c>
      <c r="C13" s="622">
        <f>SUM(C14:C17)</f>
        <v>959097697</v>
      </c>
      <c r="D13" s="622">
        <f t="shared" ref="D13:H13" si="5">SUM(D14:D17)</f>
        <v>252250286</v>
      </c>
      <c r="E13" s="622">
        <f t="shared" si="5"/>
        <v>156246002</v>
      </c>
      <c r="F13" s="622">
        <f t="shared" si="5"/>
        <v>26577681</v>
      </c>
      <c r="G13" s="622">
        <f t="shared" si="5"/>
        <v>28231096</v>
      </c>
      <c r="H13" s="622">
        <f t="shared" si="5"/>
        <v>5496087</v>
      </c>
      <c r="I13" s="622">
        <f>I17</f>
        <v>63057040</v>
      </c>
      <c r="J13" s="622">
        <f>J17</f>
        <v>6504567</v>
      </c>
      <c r="K13" s="622">
        <f>K17</f>
        <v>24297926</v>
      </c>
      <c r="L13" s="622">
        <f>L17</f>
        <v>5481075</v>
      </c>
      <c r="M13" s="622">
        <f>SUM(M14:M17)</f>
        <v>7336490</v>
      </c>
      <c r="N13" s="622">
        <f t="shared" ref="N13:V13" si="6">SUM(N14:N17)</f>
        <v>718330</v>
      </c>
      <c r="O13" s="622">
        <f t="shared" si="6"/>
        <v>11367979</v>
      </c>
      <c r="P13" s="622">
        <f t="shared" si="6"/>
        <v>939213</v>
      </c>
      <c r="Q13" s="622">
        <f t="shared" si="6"/>
        <v>78953803</v>
      </c>
      <c r="R13" s="622">
        <f t="shared" si="6"/>
        <v>9208329</v>
      </c>
      <c r="S13" s="622">
        <f t="shared" si="6"/>
        <v>30258758</v>
      </c>
      <c r="T13" s="622">
        <f t="shared" si="6"/>
        <v>3012897</v>
      </c>
      <c r="U13" s="622">
        <f t="shared" si="6"/>
        <v>63490991</v>
      </c>
      <c r="V13" s="622">
        <f t="shared" si="6"/>
        <v>2920554</v>
      </c>
    </row>
    <row r="14" spans="1:22" ht="30" x14ac:dyDescent="0.25">
      <c r="A14" s="624"/>
      <c r="B14" s="631" t="s">
        <v>411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</row>
    <row r="15" spans="1:22" ht="30" x14ac:dyDescent="0.25">
      <c r="A15" s="624"/>
      <c r="B15" s="631" t="s">
        <v>412</v>
      </c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</row>
    <row r="16" spans="1:22" ht="30" x14ac:dyDescent="0.25">
      <c r="A16" s="624"/>
      <c r="B16" s="631" t="s">
        <v>413</v>
      </c>
      <c r="C16" s="626">
        <v>474573181</v>
      </c>
      <c r="D16" s="626">
        <v>107973630</v>
      </c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</row>
    <row r="17" spans="1:22" ht="30" x14ac:dyDescent="0.25">
      <c r="A17" s="624"/>
      <c r="B17" s="631" t="s">
        <v>414</v>
      </c>
      <c r="C17" s="626">
        <v>484524516</v>
      </c>
      <c r="D17" s="626">
        <v>144276656</v>
      </c>
      <c r="E17" s="626">
        <v>156246002</v>
      </c>
      <c r="F17" s="626">
        <v>26577681</v>
      </c>
      <c r="G17" s="626">
        <v>28231096</v>
      </c>
      <c r="H17" s="626">
        <v>5496087</v>
      </c>
      <c r="I17" s="626">
        <v>63057040</v>
      </c>
      <c r="J17" s="626">
        <v>6504567</v>
      </c>
      <c r="K17" s="626">
        <v>24297926</v>
      </c>
      <c r="L17" s="626">
        <v>5481075</v>
      </c>
      <c r="M17" s="626">
        <v>7336490</v>
      </c>
      <c r="N17" s="626">
        <v>718330</v>
      </c>
      <c r="O17" s="626">
        <v>11367979</v>
      </c>
      <c r="P17" s="626">
        <v>939213</v>
      </c>
      <c r="Q17" s="626">
        <v>78953803</v>
      </c>
      <c r="R17" s="626">
        <v>9208329</v>
      </c>
      <c r="S17" s="626">
        <v>30258758</v>
      </c>
      <c r="T17" s="626">
        <v>3012897</v>
      </c>
      <c r="U17" s="626">
        <v>63490991</v>
      </c>
      <c r="V17" s="626">
        <v>2920554</v>
      </c>
    </row>
    <row r="18" spans="1:22" x14ac:dyDescent="0.25">
      <c r="A18" s="624"/>
      <c r="B18" s="623" t="s">
        <v>415</v>
      </c>
      <c r="C18" s="626"/>
      <c r="D18" s="626"/>
      <c r="E18" s="626">
        <f t="shared" ref="E18:R18" si="7">SUM(E19:E22)</f>
        <v>0</v>
      </c>
      <c r="F18" s="626">
        <f t="shared" si="7"/>
        <v>0</v>
      </c>
      <c r="G18" s="626">
        <f t="shared" si="7"/>
        <v>0</v>
      </c>
      <c r="H18" s="626">
        <f t="shared" si="7"/>
        <v>0</v>
      </c>
      <c r="I18" s="626">
        <f t="shared" si="7"/>
        <v>0</v>
      </c>
      <c r="J18" s="626">
        <f t="shared" si="7"/>
        <v>0</v>
      </c>
      <c r="K18" s="626">
        <f t="shared" si="7"/>
        <v>0</v>
      </c>
      <c r="L18" s="626">
        <f t="shared" si="7"/>
        <v>0</v>
      </c>
      <c r="M18" s="626">
        <f t="shared" si="7"/>
        <v>0</v>
      </c>
      <c r="N18" s="626">
        <f t="shared" si="7"/>
        <v>0</v>
      </c>
      <c r="O18" s="626">
        <f t="shared" si="7"/>
        <v>0</v>
      </c>
      <c r="P18" s="626">
        <f t="shared" si="7"/>
        <v>0</v>
      </c>
      <c r="Q18" s="626">
        <f t="shared" si="7"/>
        <v>0</v>
      </c>
      <c r="R18" s="626">
        <f t="shared" si="7"/>
        <v>0</v>
      </c>
      <c r="S18" s="626">
        <f>SUM(S19:S22)</f>
        <v>0</v>
      </c>
      <c r="T18" s="626">
        <f>SUM(T19:T22)</f>
        <v>0</v>
      </c>
      <c r="U18" s="626">
        <f>SUM(U19:U22)</f>
        <v>0</v>
      </c>
      <c r="V18" s="626">
        <f>SUM(V19:V22)</f>
        <v>0</v>
      </c>
    </row>
    <row r="19" spans="1:22" x14ac:dyDescent="0.25">
      <c r="A19" s="624"/>
      <c r="B19" s="631" t="s">
        <v>416</v>
      </c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</row>
    <row r="20" spans="1:22" ht="30" x14ac:dyDescent="0.25">
      <c r="A20" s="624"/>
      <c r="B20" s="631" t="s">
        <v>417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</row>
    <row r="21" spans="1:22" x14ac:dyDescent="0.25">
      <c r="A21" s="624"/>
      <c r="B21" s="631" t="s">
        <v>418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</row>
    <row r="22" spans="1:22" x14ac:dyDescent="0.25">
      <c r="A22" s="624"/>
      <c r="B22" s="631" t="s">
        <v>419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</row>
    <row r="23" spans="1:22" x14ac:dyDescent="0.25">
      <c r="A23" s="624"/>
      <c r="B23" s="623" t="s">
        <v>420</v>
      </c>
      <c r="C23" s="626">
        <f t="shared" ref="C23:R23" si="8">SUM(C24:C27)</f>
        <v>372917337</v>
      </c>
      <c r="D23" s="626">
        <f t="shared" si="8"/>
        <v>372917337</v>
      </c>
      <c r="E23" s="626">
        <f t="shared" si="8"/>
        <v>0</v>
      </c>
      <c r="F23" s="626">
        <f t="shared" si="8"/>
        <v>0</v>
      </c>
      <c r="G23" s="626">
        <f t="shared" si="8"/>
        <v>0</v>
      </c>
      <c r="H23" s="626">
        <f t="shared" si="8"/>
        <v>0</v>
      </c>
      <c r="I23" s="626"/>
      <c r="J23" s="626"/>
      <c r="K23" s="626"/>
      <c r="L23" s="626"/>
      <c r="M23" s="626"/>
      <c r="N23" s="626"/>
      <c r="O23" s="626"/>
      <c r="P23" s="626">
        <f t="shared" si="8"/>
        <v>0</v>
      </c>
      <c r="Q23" s="626">
        <f t="shared" si="8"/>
        <v>0</v>
      </c>
      <c r="R23" s="626">
        <f t="shared" si="8"/>
        <v>0</v>
      </c>
      <c r="S23" s="626">
        <f>SUM(S24:S27)</f>
        <v>0</v>
      </c>
      <c r="T23" s="626">
        <f>SUM(T24:T27)</f>
        <v>0</v>
      </c>
      <c r="U23" s="626">
        <f>SUM(U24:U27)</f>
        <v>0</v>
      </c>
      <c r="V23" s="626">
        <f>SUM(V24:V27)</f>
        <v>0</v>
      </c>
    </row>
    <row r="24" spans="1:22" x14ac:dyDescent="0.25">
      <c r="A24" s="624"/>
      <c r="B24" s="631" t="s">
        <v>421</v>
      </c>
      <c r="C24" s="626">
        <v>372917337</v>
      </c>
      <c r="D24" s="626">
        <v>372917337</v>
      </c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1:22" ht="30" x14ac:dyDescent="0.25">
      <c r="A25" s="624"/>
      <c r="B25" s="631" t="s">
        <v>422</v>
      </c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</row>
    <row r="26" spans="1:22" ht="30" x14ac:dyDescent="0.25">
      <c r="A26" s="624"/>
      <c r="B26" s="631" t="s">
        <v>423</v>
      </c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</row>
    <row r="27" spans="1:22" x14ac:dyDescent="0.25">
      <c r="A27" s="624"/>
      <c r="B27" s="631" t="s">
        <v>424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</row>
    <row r="28" spans="1:22" x14ac:dyDescent="0.25">
      <c r="A28" s="624"/>
      <c r="B28" s="623" t="s">
        <v>425</v>
      </c>
      <c r="C28" s="626">
        <f>SUM(C29:C32)</f>
        <v>584522737</v>
      </c>
      <c r="D28" s="626">
        <f t="shared" ref="D28:R28" si="9">SUM(D29:D32)</f>
        <v>584522737</v>
      </c>
      <c r="E28" s="626">
        <f t="shared" si="9"/>
        <v>0</v>
      </c>
      <c r="F28" s="626">
        <f t="shared" si="9"/>
        <v>0</v>
      </c>
      <c r="G28" s="626">
        <f t="shared" si="9"/>
        <v>0</v>
      </c>
      <c r="H28" s="626">
        <f t="shared" si="9"/>
        <v>0</v>
      </c>
      <c r="I28" s="626"/>
      <c r="J28" s="626"/>
      <c r="K28" s="626"/>
      <c r="L28" s="626"/>
      <c r="M28" s="626"/>
      <c r="N28" s="626"/>
      <c r="O28" s="626"/>
      <c r="P28" s="626">
        <f t="shared" si="9"/>
        <v>0</v>
      </c>
      <c r="Q28" s="626">
        <f t="shared" si="9"/>
        <v>0</v>
      </c>
      <c r="R28" s="626">
        <f t="shared" si="9"/>
        <v>0</v>
      </c>
      <c r="S28" s="626">
        <f>SUM(S29:S32)</f>
        <v>0</v>
      </c>
      <c r="T28" s="626">
        <f>SUM(T29:T32)</f>
        <v>0</v>
      </c>
      <c r="U28" s="626">
        <f>SUM(U29:U32)</f>
        <v>0</v>
      </c>
      <c r="V28" s="626">
        <f>SUM(V29:V32)</f>
        <v>0</v>
      </c>
    </row>
    <row r="29" spans="1:22" ht="30" x14ac:dyDescent="0.25">
      <c r="A29" s="624"/>
      <c r="B29" s="631" t="s">
        <v>426</v>
      </c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</row>
    <row r="30" spans="1:22" ht="30" x14ac:dyDescent="0.25">
      <c r="A30" s="624"/>
      <c r="B30" s="631" t="s">
        <v>427</v>
      </c>
      <c r="C30" s="626"/>
      <c r="D30" s="626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</row>
    <row r="31" spans="1:22" ht="30" x14ac:dyDescent="0.25">
      <c r="A31" s="624"/>
      <c r="B31" s="631" t="s">
        <v>428</v>
      </c>
      <c r="C31" s="626">
        <v>584522737</v>
      </c>
      <c r="D31" s="626">
        <v>584522737</v>
      </c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</row>
    <row r="32" spans="1:22" ht="30" x14ac:dyDescent="0.25">
      <c r="A32" s="624"/>
      <c r="B32" s="631" t="s">
        <v>429</v>
      </c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</row>
    <row r="33" spans="1:22" s="439" customFormat="1" x14ac:dyDescent="0.25">
      <c r="A33" s="632"/>
      <c r="B33" s="633" t="s">
        <v>430</v>
      </c>
      <c r="C33" s="629">
        <f>SUM(C34,C39,C44)</f>
        <v>697993200</v>
      </c>
      <c r="D33" s="629">
        <f>SUM(D34,D39,D44)</f>
        <v>404773200</v>
      </c>
      <c r="E33" s="634">
        <f t="shared" ref="E33:R33" si="10">SUM(E34,E39,E44)</f>
        <v>0</v>
      </c>
      <c r="F33" s="634">
        <f t="shared" si="10"/>
        <v>0</v>
      </c>
      <c r="G33" s="634">
        <f t="shared" si="10"/>
        <v>0</v>
      </c>
      <c r="H33" s="634">
        <f t="shared" si="10"/>
        <v>0</v>
      </c>
      <c r="I33" s="634"/>
      <c r="J33" s="634"/>
      <c r="K33" s="634"/>
      <c r="L33" s="634"/>
      <c r="M33" s="634"/>
      <c r="N33" s="634"/>
      <c r="O33" s="634"/>
      <c r="P33" s="634">
        <f t="shared" si="10"/>
        <v>0</v>
      </c>
      <c r="Q33" s="634">
        <f t="shared" si="10"/>
        <v>0</v>
      </c>
      <c r="R33" s="634">
        <f t="shared" si="10"/>
        <v>0</v>
      </c>
      <c r="S33" s="634">
        <f>SUM(S34,S39,S44)</f>
        <v>0</v>
      </c>
      <c r="T33" s="634">
        <f>SUM(T34,T39,T44)</f>
        <v>0</v>
      </c>
      <c r="U33" s="634">
        <f>SUM(U34,U39,U44)</f>
        <v>0</v>
      </c>
      <c r="V33" s="634">
        <f>SUM(V34,V39,V44)</f>
        <v>0</v>
      </c>
    </row>
    <row r="34" spans="1:22" x14ac:dyDescent="0.25">
      <c r="A34" s="624"/>
      <c r="B34" s="623" t="s">
        <v>431</v>
      </c>
      <c r="C34" s="626">
        <f>C37+C38</f>
        <v>697980000</v>
      </c>
      <c r="D34" s="626">
        <f>D38</f>
        <v>404760000</v>
      </c>
      <c r="E34" s="626">
        <f t="shared" ref="E34:R34" si="11">SUM(E35:E38)</f>
        <v>0</v>
      </c>
      <c r="F34" s="626">
        <f t="shared" si="11"/>
        <v>0</v>
      </c>
      <c r="G34" s="626">
        <f t="shared" si="11"/>
        <v>0</v>
      </c>
      <c r="H34" s="626">
        <f t="shared" si="11"/>
        <v>0</v>
      </c>
      <c r="I34" s="626"/>
      <c r="J34" s="626"/>
      <c r="K34" s="626"/>
      <c r="L34" s="626"/>
      <c r="M34" s="626"/>
      <c r="N34" s="626"/>
      <c r="O34" s="626"/>
      <c r="P34" s="626">
        <f t="shared" si="11"/>
        <v>0</v>
      </c>
      <c r="Q34" s="626">
        <f t="shared" si="11"/>
        <v>0</v>
      </c>
      <c r="R34" s="626">
        <f t="shared" si="11"/>
        <v>0</v>
      </c>
      <c r="S34" s="626">
        <f>SUM(S35:S38)</f>
        <v>0</v>
      </c>
      <c r="T34" s="626">
        <f>SUM(T35:T38)</f>
        <v>0</v>
      </c>
      <c r="U34" s="626">
        <f>SUM(U35:U38)</f>
        <v>0</v>
      </c>
      <c r="V34" s="626">
        <f>SUM(V35:V38)</f>
        <v>0</v>
      </c>
    </row>
    <row r="35" spans="1:22" x14ac:dyDescent="0.25">
      <c r="A35" s="624"/>
      <c r="B35" s="631" t="s">
        <v>432</v>
      </c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</row>
    <row r="36" spans="1:22" ht="30" x14ac:dyDescent="0.25">
      <c r="A36" s="624"/>
      <c r="B36" s="631" t="s">
        <v>433</v>
      </c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</row>
    <row r="37" spans="1:22" x14ac:dyDescent="0.25">
      <c r="A37" s="624"/>
      <c r="B37" s="631" t="s">
        <v>434</v>
      </c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  <c r="U37" s="626"/>
      <c r="V37" s="626"/>
    </row>
    <row r="38" spans="1:22" x14ac:dyDescent="0.25">
      <c r="A38" s="624"/>
      <c r="B38" s="631" t="s">
        <v>435</v>
      </c>
      <c r="C38" s="626">
        <v>697980000</v>
      </c>
      <c r="D38" s="626">
        <v>404760000</v>
      </c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</row>
    <row r="39" spans="1:22" ht="30" x14ac:dyDescent="0.25">
      <c r="A39" s="624"/>
      <c r="B39" s="623" t="s">
        <v>436</v>
      </c>
      <c r="C39" s="626"/>
      <c r="D39" s="626"/>
      <c r="E39" s="626">
        <f t="shared" ref="E39:R39" si="12">SUM(E40:E43)</f>
        <v>0</v>
      </c>
      <c r="F39" s="626">
        <f t="shared" si="12"/>
        <v>0</v>
      </c>
      <c r="G39" s="626">
        <f t="shared" si="12"/>
        <v>0</v>
      </c>
      <c r="H39" s="626">
        <f t="shared" si="12"/>
        <v>0</v>
      </c>
      <c r="I39" s="626"/>
      <c r="J39" s="626"/>
      <c r="K39" s="626"/>
      <c r="L39" s="626"/>
      <c r="M39" s="626"/>
      <c r="N39" s="626"/>
      <c r="O39" s="626"/>
      <c r="P39" s="626">
        <f t="shared" si="12"/>
        <v>0</v>
      </c>
      <c r="Q39" s="626">
        <f t="shared" si="12"/>
        <v>0</v>
      </c>
      <c r="R39" s="626">
        <f t="shared" si="12"/>
        <v>0</v>
      </c>
      <c r="S39" s="626">
        <f>SUM(S40:S43)</f>
        <v>0</v>
      </c>
      <c r="T39" s="626">
        <f>SUM(T40:T43)</f>
        <v>0</v>
      </c>
      <c r="U39" s="626">
        <f>SUM(U40:U43)</f>
        <v>0</v>
      </c>
      <c r="V39" s="626">
        <f>SUM(V40:V43)</f>
        <v>0</v>
      </c>
    </row>
    <row r="40" spans="1:22" ht="30" x14ac:dyDescent="0.25">
      <c r="A40" s="624"/>
      <c r="B40" s="631" t="s">
        <v>437</v>
      </c>
      <c r="C40" s="626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626"/>
    </row>
    <row r="41" spans="1:22" ht="30" x14ac:dyDescent="0.25">
      <c r="A41" s="624"/>
      <c r="B41" s="631" t="s">
        <v>438</v>
      </c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</row>
    <row r="42" spans="1:22" ht="30" x14ac:dyDescent="0.25">
      <c r="A42" s="624"/>
      <c r="B42" s="631" t="s">
        <v>439</v>
      </c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</row>
    <row r="43" spans="1:22" ht="30" x14ac:dyDescent="0.25">
      <c r="A43" s="624"/>
      <c r="B43" s="631" t="s">
        <v>440</v>
      </c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</row>
    <row r="44" spans="1:22" ht="30" x14ac:dyDescent="0.25">
      <c r="A44" s="624"/>
      <c r="B44" s="623" t="s">
        <v>441</v>
      </c>
      <c r="C44" s="626">
        <f>SUM(C45:C48)</f>
        <v>13200</v>
      </c>
      <c r="D44" s="626">
        <f t="shared" ref="D44:R44" si="13">SUM(D45:D48)</f>
        <v>13200</v>
      </c>
      <c r="E44" s="626">
        <f t="shared" si="13"/>
        <v>0</v>
      </c>
      <c r="F44" s="626">
        <f t="shared" si="13"/>
        <v>0</v>
      </c>
      <c r="G44" s="626">
        <f t="shared" si="13"/>
        <v>0</v>
      </c>
      <c r="H44" s="626">
        <f t="shared" si="13"/>
        <v>0</v>
      </c>
      <c r="I44" s="626"/>
      <c r="J44" s="626"/>
      <c r="K44" s="626"/>
      <c r="L44" s="626"/>
      <c r="M44" s="626"/>
      <c r="N44" s="626"/>
      <c r="O44" s="626"/>
      <c r="P44" s="626">
        <f t="shared" si="13"/>
        <v>0</v>
      </c>
      <c r="Q44" s="626">
        <f t="shared" si="13"/>
        <v>0</v>
      </c>
      <c r="R44" s="626">
        <f t="shared" si="13"/>
        <v>0</v>
      </c>
      <c r="S44" s="626">
        <f>SUM(S45:S48)</f>
        <v>0</v>
      </c>
      <c r="T44" s="626">
        <f>SUM(T45:T48)</f>
        <v>0</v>
      </c>
      <c r="U44" s="626">
        <f>SUM(U45:U48)</f>
        <v>0</v>
      </c>
      <c r="V44" s="626">
        <f>SUM(V45:V48)</f>
        <v>0</v>
      </c>
    </row>
    <row r="45" spans="1:22" ht="30" x14ac:dyDescent="0.25">
      <c r="A45" s="624"/>
      <c r="B45" s="631" t="s">
        <v>442</v>
      </c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626"/>
      <c r="U45" s="626"/>
      <c r="V45" s="626"/>
    </row>
    <row r="46" spans="1:22" ht="30" x14ac:dyDescent="0.25">
      <c r="A46" s="624"/>
      <c r="B46" s="631" t="s">
        <v>443</v>
      </c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</row>
    <row r="47" spans="1:22" ht="30" x14ac:dyDescent="0.25">
      <c r="A47" s="624"/>
      <c r="B47" s="631" t="s">
        <v>444</v>
      </c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</row>
    <row r="48" spans="1:22" ht="30" x14ac:dyDescent="0.25">
      <c r="A48" s="624"/>
      <c r="B48" s="631" t="s">
        <v>445</v>
      </c>
      <c r="C48" s="626">
        <v>13200</v>
      </c>
      <c r="D48" s="626">
        <v>13200</v>
      </c>
      <c r="E48" s="626"/>
      <c r="F48" s="626"/>
      <c r="G48" s="626"/>
      <c r="H48" s="626"/>
      <c r="I48" s="626"/>
      <c r="J48" s="626"/>
      <c r="K48" s="626"/>
      <c r="L48" s="626"/>
      <c r="M48" s="626"/>
      <c r="N48" s="626"/>
      <c r="O48" s="626"/>
      <c r="P48" s="626"/>
      <c r="Q48" s="626"/>
      <c r="R48" s="626"/>
      <c r="S48" s="626"/>
      <c r="T48" s="626"/>
      <c r="U48" s="626"/>
      <c r="V48" s="626"/>
    </row>
    <row r="49" spans="1:22" ht="30" x14ac:dyDescent="0.25">
      <c r="A49" s="623"/>
      <c r="B49" s="635" t="s">
        <v>446</v>
      </c>
      <c r="C49" s="622">
        <f>SUM(C50:C53)</f>
        <v>424187160</v>
      </c>
      <c r="D49" s="629">
        <f>SUM(D50:D53)</f>
        <v>359098724</v>
      </c>
      <c r="E49" s="622">
        <f t="shared" ref="E49:R49" si="14">SUM(E50:E53)</f>
        <v>0</v>
      </c>
      <c r="F49" s="622">
        <f t="shared" si="14"/>
        <v>0</v>
      </c>
      <c r="G49" s="622">
        <f t="shared" si="14"/>
        <v>0</v>
      </c>
      <c r="H49" s="622">
        <f t="shared" si="14"/>
        <v>0</v>
      </c>
      <c r="I49" s="622"/>
      <c r="J49" s="622"/>
      <c r="K49" s="622"/>
      <c r="L49" s="622"/>
      <c r="M49" s="622"/>
      <c r="N49" s="622"/>
      <c r="O49" s="622"/>
      <c r="P49" s="622">
        <f t="shared" si="14"/>
        <v>0</v>
      </c>
      <c r="Q49" s="622">
        <f t="shared" si="14"/>
        <v>0</v>
      </c>
      <c r="R49" s="622">
        <f t="shared" si="14"/>
        <v>0</v>
      </c>
      <c r="S49" s="622">
        <f>SUM(S50:S53)</f>
        <v>0</v>
      </c>
      <c r="T49" s="622">
        <f>SUM(T50:T53)</f>
        <v>0</v>
      </c>
      <c r="U49" s="622">
        <f>SUM(U50:U53)</f>
        <v>0</v>
      </c>
      <c r="V49" s="622">
        <f>SUM(V50:V53)</f>
        <v>0</v>
      </c>
    </row>
    <row r="50" spans="1:22" ht="30" x14ac:dyDescent="0.25">
      <c r="A50" s="624"/>
      <c r="B50" s="624" t="s">
        <v>447</v>
      </c>
      <c r="C50" s="626">
        <v>293506129</v>
      </c>
      <c r="D50" s="626">
        <v>271389930</v>
      </c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  <c r="R50" s="626"/>
      <c r="S50" s="626"/>
      <c r="T50" s="626"/>
      <c r="U50" s="626"/>
      <c r="V50" s="626"/>
    </row>
    <row r="51" spans="1:22" ht="45" x14ac:dyDescent="0.25">
      <c r="A51" s="624"/>
      <c r="B51" s="624" t="s">
        <v>448</v>
      </c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6"/>
      <c r="T51" s="626"/>
      <c r="U51" s="626"/>
      <c r="V51" s="626"/>
    </row>
    <row r="52" spans="1:22" ht="30" x14ac:dyDescent="0.25">
      <c r="A52" s="624"/>
      <c r="B52" s="624" t="s">
        <v>449</v>
      </c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6"/>
      <c r="U52" s="626"/>
      <c r="V52" s="626"/>
    </row>
    <row r="53" spans="1:22" ht="30" x14ac:dyDescent="0.25">
      <c r="A53" s="624"/>
      <c r="B53" s="624" t="s">
        <v>450</v>
      </c>
      <c r="C53" s="626">
        <v>130681031</v>
      </c>
      <c r="D53" s="626">
        <v>87708794</v>
      </c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</row>
    <row r="54" spans="1:22" ht="31.15" customHeight="1" x14ac:dyDescent="0.25">
      <c r="A54" s="954" t="s">
        <v>451</v>
      </c>
      <c r="B54" s="954"/>
      <c r="C54" s="622">
        <f>+C55</f>
        <v>2199262</v>
      </c>
      <c r="D54" s="622">
        <f>+D55</f>
        <v>2199262</v>
      </c>
      <c r="E54" s="622">
        <f t="shared" ref="E54:V54" si="15">+E55</f>
        <v>780610</v>
      </c>
      <c r="F54" s="622">
        <f t="shared" si="15"/>
        <v>780610</v>
      </c>
      <c r="G54" s="622">
        <f t="shared" si="15"/>
        <v>723244</v>
      </c>
      <c r="H54" s="622">
        <f t="shared" si="15"/>
        <v>723244</v>
      </c>
      <c r="I54" s="622">
        <f t="shared" si="15"/>
        <v>507650</v>
      </c>
      <c r="J54" s="622">
        <f t="shared" si="15"/>
        <v>507650</v>
      </c>
      <c r="K54" s="622">
        <f t="shared" si="15"/>
        <v>113225</v>
      </c>
      <c r="L54" s="622">
        <f t="shared" si="15"/>
        <v>113225</v>
      </c>
      <c r="M54" s="622">
        <f t="shared" si="15"/>
        <v>59510</v>
      </c>
      <c r="N54" s="622">
        <f t="shared" si="15"/>
        <v>59510</v>
      </c>
      <c r="O54" s="622">
        <f t="shared" si="15"/>
        <v>529140</v>
      </c>
      <c r="P54" s="622">
        <f t="shared" si="15"/>
        <v>529140</v>
      </c>
      <c r="Q54" s="622">
        <f t="shared" si="15"/>
        <v>494221</v>
      </c>
      <c r="R54" s="622">
        <f t="shared" si="15"/>
        <v>494221</v>
      </c>
      <c r="S54" s="622">
        <f t="shared" si="15"/>
        <v>57751</v>
      </c>
      <c r="T54" s="622">
        <f t="shared" si="15"/>
        <v>57751</v>
      </c>
      <c r="U54" s="622">
        <f t="shared" si="15"/>
        <v>194248</v>
      </c>
      <c r="V54" s="622">
        <f t="shared" si="15"/>
        <v>194248</v>
      </c>
    </row>
    <row r="55" spans="1:22" x14ac:dyDescent="0.25">
      <c r="A55" s="623"/>
      <c r="B55" s="623" t="s">
        <v>452</v>
      </c>
      <c r="C55" s="626">
        <v>2199262</v>
      </c>
      <c r="D55" s="626">
        <v>2199262</v>
      </c>
      <c r="E55" s="626">
        <v>780610</v>
      </c>
      <c r="F55" s="626">
        <v>780610</v>
      </c>
      <c r="G55" s="626">
        <v>723244</v>
      </c>
      <c r="H55" s="626">
        <v>723244</v>
      </c>
      <c r="I55" s="626">
        <v>507650</v>
      </c>
      <c r="J55" s="626">
        <v>507650</v>
      </c>
      <c r="K55" s="626">
        <v>113225</v>
      </c>
      <c r="L55" s="626">
        <v>113225</v>
      </c>
      <c r="M55" s="626">
        <v>59510</v>
      </c>
      <c r="N55" s="626">
        <v>59510</v>
      </c>
      <c r="O55" s="626">
        <v>529140</v>
      </c>
      <c r="P55" s="626">
        <f>+O55</f>
        <v>529140</v>
      </c>
      <c r="Q55" s="626">
        <v>494221</v>
      </c>
      <c r="R55" s="626">
        <v>494221</v>
      </c>
      <c r="S55" s="626">
        <v>57751</v>
      </c>
      <c r="T55" s="626">
        <v>57751</v>
      </c>
      <c r="U55" s="626">
        <v>194248</v>
      </c>
      <c r="V55" s="626">
        <v>194248</v>
      </c>
    </row>
    <row r="56" spans="1:22" x14ac:dyDescent="0.25">
      <c r="A56" s="623"/>
      <c r="B56" s="623" t="s">
        <v>453</v>
      </c>
      <c r="C56" s="622"/>
      <c r="D56" s="626"/>
      <c r="E56" s="622"/>
      <c r="F56" s="626">
        <f t="shared" ref="F56:F68" si="16">+E56</f>
        <v>0</v>
      </c>
      <c r="G56" s="622"/>
      <c r="H56" s="626"/>
      <c r="I56" s="622"/>
      <c r="J56" s="626"/>
      <c r="K56" s="622"/>
      <c r="L56" s="626"/>
      <c r="M56" s="622"/>
      <c r="N56" s="622"/>
      <c r="O56" s="622"/>
      <c r="P56" s="626">
        <f t="shared" ref="P56:P68" si="17">+O56</f>
        <v>0</v>
      </c>
      <c r="Q56" s="622"/>
      <c r="R56" s="626"/>
      <c r="S56" s="622"/>
      <c r="T56" s="626"/>
      <c r="U56" s="622"/>
      <c r="V56" s="626"/>
    </row>
    <row r="57" spans="1:22" s="385" customFormat="1" x14ac:dyDescent="0.25">
      <c r="A57" s="954" t="s">
        <v>454</v>
      </c>
      <c r="B57" s="954"/>
      <c r="C57" s="622">
        <f>+C58+C59+C60+C61+C62</f>
        <v>3853010386</v>
      </c>
      <c r="D57" s="622">
        <f>+D58+D59+D60+D61+D62</f>
        <v>3853010386</v>
      </c>
      <c r="E57" s="622">
        <f t="shared" ref="E57:V57" si="18">+E58+E59+E60+E61+E62</f>
        <v>28797601</v>
      </c>
      <c r="F57" s="622">
        <f t="shared" si="18"/>
        <v>28797601</v>
      </c>
      <c r="G57" s="622">
        <f t="shared" si="18"/>
        <v>12602170</v>
      </c>
      <c r="H57" s="622">
        <f t="shared" si="18"/>
        <v>12602170</v>
      </c>
      <c r="I57" s="622">
        <f t="shared" si="18"/>
        <v>8850037</v>
      </c>
      <c r="J57" s="622">
        <f t="shared" si="18"/>
        <v>8850037</v>
      </c>
      <c r="K57" s="622">
        <f t="shared" si="18"/>
        <v>16365403</v>
      </c>
      <c r="L57" s="622">
        <f t="shared" si="18"/>
        <v>16365403</v>
      </c>
      <c r="M57" s="622">
        <f t="shared" si="18"/>
        <v>5026849</v>
      </c>
      <c r="N57" s="622">
        <f t="shared" si="18"/>
        <v>5026849</v>
      </c>
      <c r="O57" s="622">
        <f t="shared" si="18"/>
        <v>5174795</v>
      </c>
      <c r="P57" s="622">
        <f t="shared" si="18"/>
        <v>5174795</v>
      </c>
      <c r="Q57" s="622">
        <f t="shared" si="18"/>
        <v>84229166</v>
      </c>
      <c r="R57" s="622">
        <f t="shared" si="18"/>
        <v>84229166</v>
      </c>
      <c r="S57" s="622">
        <f t="shared" si="18"/>
        <v>11011581</v>
      </c>
      <c r="T57" s="622">
        <f t="shared" si="18"/>
        <v>11011581</v>
      </c>
      <c r="U57" s="622">
        <f t="shared" si="18"/>
        <v>8870375</v>
      </c>
      <c r="V57" s="622">
        <f t="shared" si="18"/>
        <v>8870375</v>
      </c>
    </row>
    <row r="58" spans="1:22" x14ac:dyDescent="0.25">
      <c r="A58" s="624"/>
      <c r="B58" s="624" t="s">
        <v>455</v>
      </c>
      <c r="C58" s="626"/>
      <c r="D58" s="626"/>
      <c r="E58" s="626"/>
      <c r="F58" s="626">
        <f t="shared" si="16"/>
        <v>0</v>
      </c>
      <c r="G58" s="626"/>
      <c r="H58" s="626"/>
      <c r="I58" s="626"/>
      <c r="J58" s="626"/>
      <c r="K58" s="626"/>
      <c r="L58" s="626"/>
      <c r="M58" s="626"/>
      <c r="N58" s="626"/>
      <c r="O58" s="626"/>
      <c r="P58" s="626">
        <f t="shared" si="17"/>
        <v>0</v>
      </c>
      <c r="Q58" s="626"/>
      <c r="R58" s="626"/>
      <c r="S58" s="626"/>
      <c r="T58" s="626"/>
      <c r="U58" s="626"/>
      <c r="V58" s="626"/>
    </row>
    <row r="59" spans="1:22" x14ac:dyDescent="0.25">
      <c r="A59" s="624"/>
      <c r="B59" s="624" t="s">
        <v>456</v>
      </c>
      <c r="C59" s="626"/>
      <c r="D59" s="626"/>
      <c r="E59" s="626"/>
      <c r="F59" s="626">
        <f t="shared" si="16"/>
        <v>0</v>
      </c>
      <c r="G59" s="626"/>
      <c r="H59" s="626"/>
      <c r="I59" s="626"/>
      <c r="J59" s="626"/>
      <c r="K59" s="626"/>
      <c r="L59" s="626"/>
      <c r="M59" s="626"/>
      <c r="N59" s="626"/>
      <c r="O59" s="626"/>
      <c r="P59" s="626">
        <f t="shared" si="17"/>
        <v>0</v>
      </c>
      <c r="Q59" s="626"/>
      <c r="R59" s="626"/>
      <c r="S59" s="626"/>
      <c r="T59" s="626"/>
      <c r="U59" s="626"/>
      <c r="V59" s="626"/>
    </row>
    <row r="60" spans="1:22" x14ac:dyDescent="0.25">
      <c r="A60" s="624"/>
      <c r="B60" s="624" t="s">
        <v>457</v>
      </c>
      <c r="C60" s="626">
        <v>3853010386</v>
      </c>
      <c r="D60" s="626">
        <v>3853010386</v>
      </c>
      <c r="E60" s="626">
        <v>28797601</v>
      </c>
      <c r="F60" s="626">
        <v>28797601</v>
      </c>
      <c r="G60" s="626">
        <v>12602170</v>
      </c>
      <c r="H60" s="626">
        <v>12602170</v>
      </c>
      <c r="I60" s="626">
        <v>8850037</v>
      </c>
      <c r="J60" s="626">
        <v>8850037</v>
      </c>
      <c r="K60" s="626">
        <v>16365403</v>
      </c>
      <c r="L60" s="626">
        <v>16365403</v>
      </c>
      <c r="M60" s="626">
        <v>5026849</v>
      </c>
      <c r="N60" s="626">
        <v>5026849</v>
      </c>
      <c r="O60" s="626">
        <v>5174795</v>
      </c>
      <c r="P60" s="626">
        <f t="shared" si="17"/>
        <v>5174795</v>
      </c>
      <c r="Q60" s="626">
        <v>84229166</v>
      </c>
      <c r="R60" s="626">
        <v>84229166</v>
      </c>
      <c r="S60" s="626">
        <v>11011581</v>
      </c>
      <c r="T60" s="626">
        <v>11011581</v>
      </c>
      <c r="U60" s="626">
        <v>8870375</v>
      </c>
      <c r="V60" s="626">
        <v>8870375</v>
      </c>
    </row>
    <row r="61" spans="1:22" x14ac:dyDescent="0.25">
      <c r="A61" s="624"/>
      <c r="B61" s="624" t="s">
        <v>458</v>
      </c>
      <c r="C61" s="626"/>
      <c r="D61" s="626">
        <f t="shared" ref="D61:D62" si="19">+C61</f>
        <v>0</v>
      </c>
      <c r="E61" s="626"/>
      <c r="F61" s="626">
        <f t="shared" si="16"/>
        <v>0</v>
      </c>
      <c r="G61" s="626"/>
      <c r="H61" s="626"/>
      <c r="I61" s="626"/>
      <c r="J61" s="626"/>
      <c r="K61" s="626"/>
      <c r="L61" s="626"/>
      <c r="M61" s="626"/>
      <c r="N61" s="626"/>
      <c r="O61" s="626"/>
      <c r="P61" s="626">
        <f t="shared" si="17"/>
        <v>0</v>
      </c>
      <c r="Q61" s="626"/>
      <c r="R61" s="626"/>
      <c r="S61" s="626"/>
      <c r="T61" s="626"/>
      <c r="U61" s="626"/>
      <c r="V61" s="626"/>
    </row>
    <row r="62" spans="1:22" x14ac:dyDescent="0.25">
      <c r="A62" s="624"/>
      <c r="B62" s="624" t="s">
        <v>459</v>
      </c>
      <c r="C62" s="626"/>
      <c r="D62" s="626">
        <f t="shared" si="19"/>
        <v>0</v>
      </c>
      <c r="E62" s="626"/>
      <c r="F62" s="626">
        <f t="shared" si="16"/>
        <v>0</v>
      </c>
      <c r="G62" s="626"/>
      <c r="H62" s="626"/>
      <c r="I62" s="626"/>
      <c r="J62" s="626"/>
      <c r="K62" s="626"/>
      <c r="L62" s="626"/>
      <c r="M62" s="626"/>
      <c r="N62" s="626"/>
      <c r="O62" s="626"/>
      <c r="P62" s="626">
        <f t="shared" si="17"/>
        <v>0</v>
      </c>
      <c r="Q62" s="626"/>
      <c r="R62" s="626"/>
      <c r="S62" s="626"/>
      <c r="T62" s="626"/>
      <c r="U62" s="626"/>
      <c r="V62" s="626"/>
    </row>
    <row r="63" spans="1:22" s="385" customFormat="1" x14ac:dyDescent="0.25">
      <c r="A63" s="954" t="s">
        <v>460</v>
      </c>
      <c r="B63" s="954"/>
      <c r="C63" s="622">
        <f>+C64+C65+C66</f>
        <v>2024201321</v>
      </c>
      <c r="D63" s="622">
        <f>+D64+D65+D66</f>
        <v>2024201321</v>
      </c>
      <c r="E63" s="622">
        <f t="shared" ref="E63:V63" si="20">+E64+E65+E66</f>
        <v>31094937</v>
      </c>
      <c r="F63" s="622">
        <f t="shared" si="20"/>
        <v>31094937</v>
      </c>
      <c r="G63" s="622">
        <f t="shared" si="20"/>
        <v>1163074</v>
      </c>
      <c r="H63" s="622">
        <f t="shared" si="20"/>
        <v>1163074</v>
      </c>
      <c r="I63" s="622">
        <f t="shared" si="20"/>
        <v>415497</v>
      </c>
      <c r="J63" s="622">
        <f t="shared" si="20"/>
        <v>415497</v>
      </c>
      <c r="K63" s="622">
        <f t="shared" si="20"/>
        <v>0</v>
      </c>
      <c r="L63" s="622">
        <f t="shared" si="20"/>
        <v>0</v>
      </c>
      <c r="M63" s="622">
        <f t="shared" si="20"/>
        <v>0</v>
      </c>
      <c r="N63" s="622">
        <f t="shared" si="20"/>
        <v>0</v>
      </c>
      <c r="O63" s="622">
        <f t="shared" si="20"/>
        <v>0</v>
      </c>
      <c r="P63" s="622">
        <f t="shared" si="20"/>
        <v>0</v>
      </c>
      <c r="Q63" s="622">
        <f t="shared" si="20"/>
        <v>36784071</v>
      </c>
      <c r="R63" s="622">
        <f t="shared" si="20"/>
        <v>36784071</v>
      </c>
      <c r="S63" s="622">
        <f t="shared" si="20"/>
        <v>0</v>
      </c>
      <c r="T63" s="622">
        <f t="shared" si="20"/>
        <v>0</v>
      </c>
      <c r="U63" s="622">
        <f t="shared" si="20"/>
        <v>645098</v>
      </c>
      <c r="V63" s="622">
        <f t="shared" si="20"/>
        <v>645098</v>
      </c>
    </row>
    <row r="64" spans="1:22" x14ac:dyDescent="0.25">
      <c r="A64" s="624"/>
      <c r="B64" s="624" t="s">
        <v>461</v>
      </c>
      <c r="C64" s="626">
        <v>67820881</v>
      </c>
      <c r="D64" s="626">
        <f>+C64</f>
        <v>67820881</v>
      </c>
      <c r="E64" s="626"/>
      <c r="F64" s="626">
        <f t="shared" si="16"/>
        <v>0</v>
      </c>
      <c r="G64" s="626">
        <v>1146625</v>
      </c>
      <c r="H64" s="626">
        <f t="shared" ref="H64:H68" si="21">+G64</f>
        <v>1146625</v>
      </c>
      <c r="I64" s="626">
        <v>131000</v>
      </c>
      <c r="J64" s="626">
        <v>131000</v>
      </c>
      <c r="K64" s="626"/>
      <c r="L64" s="626"/>
      <c r="M64" s="626"/>
      <c r="N64" s="626"/>
      <c r="O64" s="626"/>
      <c r="P64" s="626">
        <f t="shared" si="17"/>
        <v>0</v>
      </c>
      <c r="Q64" s="626">
        <v>36784071</v>
      </c>
      <c r="R64" s="626">
        <v>36784071</v>
      </c>
      <c r="S64" s="626"/>
      <c r="T64" s="626"/>
      <c r="U64" s="626">
        <v>645098</v>
      </c>
      <c r="V64" s="626">
        <v>645098</v>
      </c>
    </row>
    <row r="65" spans="1:22" ht="30" x14ac:dyDescent="0.25">
      <c r="A65" s="624"/>
      <c r="B65" s="624" t="s">
        <v>462</v>
      </c>
      <c r="C65" s="626">
        <v>1904311555</v>
      </c>
      <c r="D65" s="626">
        <f>+C65</f>
        <v>1904311555</v>
      </c>
      <c r="E65" s="626">
        <v>22850100</v>
      </c>
      <c r="F65" s="626">
        <v>22850100</v>
      </c>
      <c r="G65" s="626"/>
      <c r="H65" s="626"/>
      <c r="I65" s="626"/>
      <c r="J65" s="626"/>
      <c r="K65" s="626"/>
      <c r="L65" s="626"/>
      <c r="M65" s="626"/>
      <c r="N65" s="626"/>
      <c r="O65" s="626"/>
      <c r="P65" s="626">
        <f t="shared" si="17"/>
        <v>0</v>
      </c>
      <c r="Q65" s="626"/>
      <c r="R65" s="626"/>
      <c r="S65" s="626"/>
      <c r="T65" s="626"/>
      <c r="U65" s="626"/>
      <c r="V65" s="626"/>
    </row>
    <row r="66" spans="1:22" x14ac:dyDescent="0.25">
      <c r="A66" s="624"/>
      <c r="B66" s="624" t="s">
        <v>463</v>
      </c>
      <c r="C66" s="626">
        <v>52068885</v>
      </c>
      <c r="D66" s="626">
        <f>+C66</f>
        <v>52068885</v>
      </c>
      <c r="E66" s="626">
        <v>8244837</v>
      </c>
      <c r="F66" s="626">
        <v>8244837</v>
      </c>
      <c r="G66" s="626">
        <v>16449</v>
      </c>
      <c r="H66" s="626">
        <f t="shared" si="21"/>
        <v>16449</v>
      </c>
      <c r="I66" s="626">
        <v>284497</v>
      </c>
      <c r="J66" s="626">
        <v>284497</v>
      </c>
      <c r="K66" s="626"/>
      <c r="L66" s="626"/>
      <c r="M66" s="626"/>
      <c r="N66" s="626"/>
      <c r="O66" s="626"/>
      <c r="P66" s="626">
        <f t="shared" si="17"/>
        <v>0</v>
      </c>
      <c r="Q66" s="626"/>
      <c r="R66" s="626"/>
      <c r="S66" s="626"/>
      <c r="T66" s="626"/>
      <c r="U66" s="626"/>
      <c r="V66" s="626"/>
    </row>
    <row r="67" spans="1:22" s="385" customFormat="1" ht="28.15" customHeight="1" x14ac:dyDescent="0.25">
      <c r="A67" s="954" t="s">
        <v>464</v>
      </c>
      <c r="B67" s="954"/>
      <c r="C67" s="622">
        <v>-890000</v>
      </c>
      <c r="D67" s="622">
        <f>+C67</f>
        <v>-890000</v>
      </c>
      <c r="E67" s="622">
        <v>3000</v>
      </c>
      <c r="F67" s="622">
        <f t="shared" si="16"/>
        <v>3000</v>
      </c>
      <c r="G67" s="622">
        <v>663</v>
      </c>
      <c r="H67" s="622">
        <f t="shared" si="21"/>
        <v>663</v>
      </c>
      <c r="I67" s="622">
        <v>107162</v>
      </c>
      <c r="J67" s="622">
        <v>107162</v>
      </c>
      <c r="K67" s="622"/>
      <c r="L67" s="622"/>
      <c r="M67" s="622"/>
      <c r="N67" s="622"/>
      <c r="O67" s="622">
        <v>-23000</v>
      </c>
      <c r="P67" s="622">
        <f t="shared" si="17"/>
        <v>-23000</v>
      </c>
      <c r="Q67" s="622">
        <v>12738000</v>
      </c>
      <c r="R67" s="622">
        <v>12738000</v>
      </c>
      <c r="S67" s="622"/>
      <c r="T67" s="622"/>
      <c r="U67" s="622">
        <v>-68400</v>
      </c>
      <c r="V67" s="622">
        <v>-68400</v>
      </c>
    </row>
    <row r="68" spans="1:22" s="385" customFormat="1" ht="20.45" customHeight="1" x14ac:dyDescent="0.25">
      <c r="A68" s="954" t="s">
        <v>465</v>
      </c>
      <c r="B68" s="954"/>
      <c r="C68" s="622">
        <v>4674483</v>
      </c>
      <c r="D68" s="622">
        <v>4674483</v>
      </c>
      <c r="E68" s="622">
        <v>4596574</v>
      </c>
      <c r="F68" s="622">
        <f t="shared" si="16"/>
        <v>4596574</v>
      </c>
      <c r="G68" s="622">
        <v>38103</v>
      </c>
      <c r="H68" s="622">
        <f t="shared" si="21"/>
        <v>38103</v>
      </c>
      <c r="I68" s="622"/>
      <c r="J68" s="622"/>
      <c r="K68" s="622">
        <v>154937</v>
      </c>
      <c r="L68" s="622">
        <v>154937</v>
      </c>
      <c r="M68" s="622">
        <v>9494</v>
      </c>
      <c r="N68" s="622">
        <v>9494</v>
      </c>
      <c r="O68" s="622">
        <v>982472</v>
      </c>
      <c r="P68" s="622">
        <f t="shared" si="17"/>
        <v>982472</v>
      </c>
      <c r="Q68" s="622">
        <v>231930</v>
      </c>
      <c r="R68" s="622">
        <v>231930</v>
      </c>
      <c r="S68" s="622">
        <v>21357</v>
      </c>
      <c r="T68" s="622">
        <v>21357</v>
      </c>
      <c r="U68" s="622">
        <v>23667</v>
      </c>
      <c r="V68" s="622">
        <v>23667</v>
      </c>
    </row>
    <row r="69" spans="1:22" ht="38.25" customHeight="1" x14ac:dyDescent="0.25">
      <c r="A69" s="955" t="s">
        <v>466</v>
      </c>
      <c r="B69" s="955"/>
      <c r="C69" s="622">
        <f>+C68+C67+C63+C57+C54+C3</f>
        <v>38976402623</v>
      </c>
      <c r="D69" s="622">
        <f>+D68+D67+D63+D57+D54+D3</f>
        <v>30551681195</v>
      </c>
      <c r="E69" s="622">
        <f t="shared" ref="E69:V69" si="22">+E68+E67+E63+E57+E54+E3</f>
        <v>240153914</v>
      </c>
      <c r="F69" s="622">
        <f t="shared" si="22"/>
        <v>92257947</v>
      </c>
      <c r="G69" s="622">
        <f t="shared" si="22"/>
        <v>43185724</v>
      </c>
      <c r="H69" s="622">
        <f t="shared" si="22"/>
        <v>20029834</v>
      </c>
      <c r="I69" s="622">
        <f t="shared" si="22"/>
        <v>72986136</v>
      </c>
      <c r="J69" s="622">
        <f t="shared" si="22"/>
        <v>16384913</v>
      </c>
      <c r="K69" s="622">
        <f t="shared" si="22"/>
        <v>41178573</v>
      </c>
      <c r="L69" s="622">
        <f t="shared" si="22"/>
        <v>22114640</v>
      </c>
      <c r="M69" s="622">
        <f t="shared" si="22"/>
        <v>12432343</v>
      </c>
      <c r="N69" s="622">
        <f t="shared" si="22"/>
        <v>5814183</v>
      </c>
      <c r="O69" s="622">
        <f t="shared" si="22"/>
        <v>117449642</v>
      </c>
      <c r="P69" s="622">
        <f t="shared" si="22"/>
        <v>7653703</v>
      </c>
      <c r="Q69" s="622">
        <f t="shared" si="22"/>
        <v>218373083</v>
      </c>
      <c r="R69" s="622">
        <f t="shared" si="22"/>
        <v>144081765</v>
      </c>
      <c r="S69" s="622">
        <f t="shared" si="22"/>
        <v>41608197</v>
      </c>
      <c r="T69" s="622">
        <f t="shared" si="22"/>
        <v>14103586</v>
      </c>
      <c r="U69" s="622">
        <f t="shared" si="22"/>
        <v>73205979</v>
      </c>
      <c r="V69" s="622">
        <f t="shared" si="22"/>
        <v>12585542</v>
      </c>
    </row>
    <row r="70" spans="1:22" s="385" customFormat="1" x14ac:dyDescent="0.25">
      <c r="A70" s="954" t="s">
        <v>467</v>
      </c>
      <c r="B70" s="954"/>
      <c r="C70" s="622">
        <f t="shared" ref="C70:V70" si="23">+C71+C72+C73+C74+C75+C76</f>
        <v>24354941458</v>
      </c>
      <c r="D70" s="622">
        <f t="shared" si="23"/>
        <v>24354941458</v>
      </c>
      <c r="E70" s="622">
        <f t="shared" si="23"/>
        <v>43560761</v>
      </c>
      <c r="F70" s="622">
        <f t="shared" si="23"/>
        <v>43560761</v>
      </c>
      <c r="G70" s="622">
        <f t="shared" si="23"/>
        <v>-8848867</v>
      </c>
      <c r="H70" s="622">
        <f t="shared" si="23"/>
        <v>-8848867</v>
      </c>
      <c r="I70" s="622">
        <f t="shared" si="23"/>
        <v>-20101785</v>
      </c>
      <c r="J70" s="622">
        <f t="shared" si="23"/>
        <v>-20101785</v>
      </c>
      <c r="K70" s="622">
        <f t="shared" si="23"/>
        <v>-8128609</v>
      </c>
      <c r="L70" s="622">
        <f t="shared" si="23"/>
        <v>-8128609</v>
      </c>
      <c r="M70" s="622">
        <f t="shared" si="23"/>
        <v>-212946</v>
      </c>
      <c r="N70" s="622">
        <f t="shared" si="23"/>
        <v>-212946</v>
      </c>
      <c r="O70" s="622">
        <f t="shared" si="23"/>
        <v>2064360</v>
      </c>
      <c r="P70" s="622">
        <f t="shared" si="23"/>
        <v>2064360</v>
      </c>
      <c r="Q70" s="622">
        <f t="shared" si="23"/>
        <v>76683938</v>
      </c>
      <c r="R70" s="622">
        <f t="shared" si="23"/>
        <v>76683938</v>
      </c>
      <c r="S70" s="622">
        <f t="shared" si="23"/>
        <v>-4155708</v>
      </c>
      <c r="T70" s="622">
        <f t="shared" si="23"/>
        <v>-4155708</v>
      </c>
      <c r="U70" s="622">
        <f t="shared" si="23"/>
        <v>1352453</v>
      </c>
      <c r="V70" s="622">
        <f t="shared" si="23"/>
        <v>1352453</v>
      </c>
    </row>
    <row r="71" spans="1:22" ht="31.5" customHeight="1" x14ac:dyDescent="0.25">
      <c r="A71" s="624"/>
      <c r="B71" s="624" t="s">
        <v>468</v>
      </c>
      <c r="C71" s="626">
        <v>23743022163</v>
      </c>
      <c r="D71" s="626">
        <v>23743022163</v>
      </c>
      <c r="E71" s="626">
        <v>207008158</v>
      </c>
      <c r="F71" s="626">
        <v>207008158</v>
      </c>
      <c r="G71" s="626">
        <v>1534389</v>
      </c>
      <c r="H71" s="626">
        <v>1534389</v>
      </c>
      <c r="I71" s="626">
        <v>55419477</v>
      </c>
      <c r="J71" s="626">
        <v>55419477</v>
      </c>
      <c r="K71" s="626">
        <v>10525271</v>
      </c>
      <c r="L71" s="626">
        <v>10525271</v>
      </c>
      <c r="M71" s="626">
        <v>4705151</v>
      </c>
      <c r="N71" s="626">
        <v>4705151</v>
      </c>
      <c r="O71" s="626">
        <v>18790352</v>
      </c>
      <c r="P71" s="626">
        <v>18790352</v>
      </c>
      <c r="Q71" s="626">
        <v>150879576</v>
      </c>
      <c r="R71" s="626">
        <v>150879576</v>
      </c>
      <c r="S71" s="626"/>
      <c r="T71" s="626"/>
      <c r="U71" s="626"/>
      <c r="V71" s="626"/>
    </row>
    <row r="72" spans="1:22" ht="31.5" customHeight="1" x14ac:dyDescent="0.25">
      <c r="A72" s="624"/>
      <c r="B72" s="624" t="s">
        <v>469</v>
      </c>
      <c r="C72" s="626">
        <v>-1121068112</v>
      </c>
      <c r="D72" s="626">
        <v>-1121068112</v>
      </c>
      <c r="E72" s="626">
        <v>56599</v>
      </c>
      <c r="F72" s="626">
        <v>56599</v>
      </c>
      <c r="G72" s="626"/>
      <c r="H72" s="626"/>
      <c r="I72" s="626">
        <v>-120441</v>
      </c>
      <c r="J72" s="626">
        <v>-120441</v>
      </c>
      <c r="K72" s="626">
        <v>12938276</v>
      </c>
      <c r="L72" s="626">
        <v>12938276</v>
      </c>
      <c r="M72" s="626">
        <v>591312</v>
      </c>
      <c r="N72" s="626">
        <v>591312</v>
      </c>
      <c r="O72" s="626">
        <v>-1347797</v>
      </c>
      <c r="P72" s="626">
        <v>-1347797</v>
      </c>
      <c r="Q72" s="626">
        <v>-17118276</v>
      </c>
      <c r="R72" s="626">
        <v>-17118276</v>
      </c>
      <c r="S72" s="626">
        <v>5811199</v>
      </c>
      <c r="T72" s="626">
        <v>5811199</v>
      </c>
      <c r="U72" s="626">
        <v>6418258</v>
      </c>
      <c r="V72" s="626">
        <v>6418258</v>
      </c>
    </row>
    <row r="73" spans="1:22" ht="31.5" customHeight="1" x14ac:dyDescent="0.25">
      <c r="A73" s="624"/>
      <c r="B73" s="624" t="s">
        <v>470</v>
      </c>
      <c r="C73" s="626">
        <v>449861622</v>
      </c>
      <c r="D73" s="626">
        <v>449861622</v>
      </c>
      <c r="E73" s="626">
        <v>2659757</v>
      </c>
      <c r="F73" s="626">
        <v>2659757</v>
      </c>
      <c r="G73" s="626">
        <v>813104</v>
      </c>
      <c r="H73" s="626">
        <v>813104</v>
      </c>
      <c r="I73" s="626">
        <v>1869708</v>
      </c>
      <c r="J73" s="626">
        <v>1869708</v>
      </c>
      <c r="K73" s="626">
        <v>61574</v>
      </c>
      <c r="L73" s="626">
        <v>61574</v>
      </c>
      <c r="M73" s="626"/>
      <c r="N73" s="626"/>
      <c r="O73" s="626">
        <v>759776</v>
      </c>
      <c r="P73" s="626">
        <v>759776</v>
      </c>
      <c r="Q73" s="626">
        <v>2067177</v>
      </c>
      <c r="R73" s="626">
        <v>2067177</v>
      </c>
      <c r="S73" s="626"/>
      <c r="T73" s="626"/>
      <c r="U73" s="626"/>
      <c r="V73" s="626"/>
    </row>
    <row r="74" spans="1:22" ht="31.5" customHeight="1" x14ac:dyDescent="0.25">
      <c r="A74" s="624"/>
      <c r="B74" s="624" t="s">
        <v>471</v>
      </c>
      <c r="C74" s="626">
        <v>-491417857</v>
      </c>
      <c r="D74" s="626">
        <v>-491417857</v>
      </c>
      <c r="E74" s="626">
        <v>-166298399</v>
      </c>
      <c r="F74" s="626">
        <v>-166298399</v>
      </c>
      <c r="G74" s="626">
        <v>1311629</v>
      </c>
      <c r="H74" s="626">
        <v>1311629</v>
      </c>
      <c r="I74" s="626">
        <v>-72629705</v>
      </c>
      <c r="J74" s="626">
        <v>-72629705</v>
      </c>
      <c r="K74" s="626">
        <v>-29109615</v>
      </c>
      <c r="L74" s="626">
        <v>-29109615</v>
      </c>
      <c r="M74" s="626">
        <v>-6339491</v>
      </c>
      <c r="N74" s="626">
        <v>-6339491</v>
      </c>
      <c r="O74" s="626">
        <v>-12614924</v>
      </c>
      <c r="P74" s="626">
        <v>-12614924</v>
      </c>
      <c r="Q74" s="626">
        <v>-47304283</v>
      </c>
      <c r="R74" s="626">
        <v>-47304283</v>
      </c>
      <c r="S74" s="626">
        <v>-12764388</v>
      </c>
      <c r="T74" s="626">
        <v>-12764388</v>
      </c>
      <c r="U74" s="626">
        <v>5883266</v>
      </c>
      <c r="V74" s="626">
        <v>5883266</v>
      </c>
    </row>
    <row r="75" spans="1:22" ht="31.5" customHeight="1" x14ac:dyDescent="0.25">
      <c r="A75" s="624"/>
      <c r="B75" s="624" t="s">
        <v>472</v>
      </c>
      <c r="C75" s="626">
        <v>584535937</v>
      </c>
      <c r="D75" s="626">
        <v>584535937</v>
      </c>
      <c r="E75" s="578"/>
      <c r="F75" s="626"/>
      <c r="G75" s="626"/>
      <c r="H75" s="626"/>
      <c r="I75" s="626"/>
      <c r="J75" s="626"/>
      <c r="K75" s="626"/>
      <c r="L75" s="626"/>
      <c r="M75" s="626"/>
      <c r="N75" s="626"/>
      <c r="O75" s="626"/>
      <c r="P75" s="626"/>
      <c r="Q75" s="626"/>
      <c r="R75" s="626"/>
      <c r="S75" s="626"/>
      <c r="T75" s="626"/>
      <c r="U75" s="626"/>
      <c r="V75" s="626"/>
    </row>
    <row r="76" spans="1:22" ht="31.5" customHeight="1" x14ac:dyDescent="0.25">
      <c r="A76" s="624"/>
      <c r="B76" s="624" t="s">
        <v>473</v>
      </c>
      <c r="C76" s="626">
        <v>1190007705</v>
      </c>
      <c r="D76" s="626">
        <v>1190007705</v>
      </c>
      <c r="E76" s="626">
        <v>134646</v>
      </c>
      <c r="F76" s="626">
        <v>134646</v>
      </c>
      <c r="G76" s="626">
        <v>-12507989</v>
      </c>
      <c r="H76" s="626">
        <v>-12507989</v>
      </c>
      <c r="I76" s="626">
        <v>-4640824</v>
      </c>
      <c r="J76" s="626">
        <v>-4640824</v>
      </c>
      <c r="K76" s="626">
        <v>-2544115</v>
      </c>
      <c r="L76" s="626">
        <v>-2544115</v>
      </c>
      <c r="M76" s="626">
        <v>830082</v>
      </c>
      <c r="N76" s="626">
        <v>830082</v>
      </c>
      <c r="O76" s="626">
        <v>-3523047</v>
      </c>
      <c r="P76" s="626">
        <v>-3523047</v>
      </c>
      <c r="Q76" s="626">
        <v>-11840256</v>
      </c>
      <c r="R76" s="626">
        <v>-11840256</v>
      </c>
      <c r="S76" s="626">
        <v>2797481</v>
      </c>
      <c r="T76" s="626">
        <v>2797481</v>
      </c>
      <c r="U76" s="626">
        <v>-10949071</v>
      </c>
      <c r="V76" s="626">
        <v>-10949071</v>
      </c>
    </row>
    <row r="77" spans="1:22" s="385" customFormat="1" ht="31.5" customHeight="1" x14ac:dyDescent="0.25">
      <c r="A77" s="954" t="s">
        <v>474</v>
      </c>
      <c r="B77" s="954"/>
      <c r="C77" s="622">
        <f>+C78+C79+C80</f>
        <v>643514263</v>
      </c>
      <c r="D77" s="622">
        <f>+D78+D79+D80</f>
        <v>643514263</v>
      </c>
      <c r="E77" s="622">
        <f t="shared" ref="E77:V77" si="24">+E78+E79+E80</f>
        <v>1452554</v>
      </c>
      <c r="F77" s="622">
        <f t="shared" si="24"/>
        <v>1452554</v>
      </c>
      <c r="G77" s="622">
        <f t="shared" si="24"/>
        <v>1844912</v>
      </c>
      <c r="H77" s="622">
        <f t="shared" si="24"/>
        <v>1844912</v>
      </c>
      <c r="I77" s="622">
        <f t="shared" si="24"/>
        <v>3772865</v>
      </c>
      <c r="J77" s="622">
        <f t="shared" si="24"/>
        <v>3772865</v>
      </c>
      <c r="K77" s="622">
        <f t="shared" si="24"/>
        <v>5186476</v>
      </c>
      <c r="L77" s="622">
        <f t="shared" si="24"/>
        <v>5186476</v>
      </c>
      <c r="M77" s="622">
        <f t="shared" si="24"/>
        <v>131355</v>
      </c>
      <c r="N77" s="622">
        <f t="shared" si="24"/>
        <v>131355</v>
      </c>
      <c r="O77" s="622">
        <f t="shared" si="24"/>
        <v>142951</v>
      </c>
      <c r="P77" s="622">
        <f t="shared" si="24"/>
        <v>142951</v>
      </c>
      <c r="Q77" s="622">
        <f t="shared" si="24"/>
        <v>31080046</v>
      </c>
      <c r="R77" s="622">
        <f t="shared" si="24"/>
        <v>31080046</v>
      </c>
      <c r="S77" s="622">
        <f t="shared" si="24"/>
        <v>148670</v>
      </c>
      <c r="T77" s="622">
        <f t="shared" si="24"/>
        <v>148670</v>
      </c>
      <c r="U77" s="622">
        <f t="shared" si="24"/>
        <v>1102006</v>
      </c>
      <c r="V77" s="622">
        <f t="shared" si="24"/>
        <v>1102006</v>
      </c>
    </row>
    <row r="78" spans="1:22" ht="31.5" customHeight="1" x14ac:dyDescent="0.25">
      <c r="A78" s="624"/>
      <c r="B78" s="624" t="s">
        <v>475</v>
      </c>
      <c r="C78" s="626">
        <v>123174441</v>
      </c>
      <c r="D78" s="626">
        <v>123174441</v>
      </c>
      <c r="E78" s="626">
        <v>1056366</v>
      </c>
      <c r="F78" s="626">
        <v>1056366</v>
      </c>
      <c r="G78" s="626">
        <v>1805442</v>
      </c>
      <c r="H78" s="626">
        <v>1805442</v>
      </c>
      <c r="I78" s="626">
        <v>3772865</v>
      </c>
      <c r="J78" s="626">
        <v>3772865</v>
      </c>
      <c r="K78" s="626">
        <v>5112531</v>
      </c>
      <c r="L78" s="626">
        <v>5112531</v>
      </c>
      <c r="M78" s="626">
        <v>125355</v>
      </c>
      <c r="N78" s="626">
        <v>125355</v>
      </c>
      <c r="O78" s="626">
        <v>142951</v>
      </c>
      <c r="P78" s="626">
        <v>142951</v>
      </c>
      <c r="Q78" s="626">
        <v>30959440</v>
      </c>
      <c r="R78" s="626">
        <v>30959440</v>
      </c>
      <c r="S78" s="626">
        <v>45920</v>
      </c>
      <c r="T78" s="626">
        <v>45920</v>
      </c>
      <c r="U78" s="626">
        <v>1092940</v>
      </c>
      <c r="V78" s="626">
        <v>1092940</v>
      </c>
    </row>
    <row r="79" spans="1:22" ht="31.5" customHeight="1" x14ac:dyDescent="0.25">
      <c r="A79" s="624"/>
      <c r="B79" s="624" t="s">
        <v>476</v>
      </c>
      <c r="C79" s="626">
        <v>515885687</v>
      </c>
      <c r="D79" s="626">
        <v>515885687</v>
      </c>
      <c r="E79" s="626">
        <v>6000</v>
      </c>
      <c r="F79" s="626">
        <v>6000</v>
      </c>
      <c r="G79" s="626">
        <v>11495</v>
      </c>
      <c r="H79" s="626">
        <v>11495</v>
      </c>
      <c r="I79" s="626"/>
      <c r="J79" s="626"/>
      <c r="K79" s="626">
        <v>6000</v>
      </c>
      <c r="L79" s="626">
        <v>6000</v>
      </c>
      <c r="M79" s="626">
        <v>6000</v>
      </c>
      <c r="N79" s="626">
        <v>6000</v>
      </c>
      <c r="O79" s="626"/>
      <c r="P79" s="626"/>
      <c r="Q79" s="626"/>
      <c r="R79" s="626"/>
      <c r="S79" s="626"/>
      <c r="T79" s="626"/>
      <c r="U79" s="626">
        <v>9066</v>
      </c>
      <c r="V79" s="626">
        <v>9066</v>
      </c>
    </row>
    <row r="80" spans="1:22" ht="31.5" customHeight="1" x14ac:dyDescent="0.25">
      <c r="A80" s="624"/>
      <c r="B80" s="624" t="s">
        <v>477</v>
      </c>
      <c r="C80" s="626">
        <v>4454135</v>
      </c>
      <c r="D80" s="626">
        <v>4454135</v>
      </c>
      <c r="E80" s="626">
        <v>390188</v>
      </c>
      <c r="F80" s="626">
        <v>390188</v>
      </c>
      <c r="G80" s="626">
        <v>27975</v>
      </c>
      <c r="H80" s="626">
        <v>27975</v>
      </c>
      <c r="I80" s="626"/>
      <c r="J80" s="626"/>
      <c r="K80" s="626">
        <v>67945</v>
      </c>
      <c r="L80" s="626">
        <v>67945</v>
      </c>
      <c r="M80" s="626"/>
      <c r="N80" s="626"/>
      <c r="O80" s="626"/>
      <c r="P80" s="626"/>
      <c r="Q80" s="626">
        <v>120606</v>
      </c>
      <c r="R80" s="626">
        <v>120606</v>
      </c>
      <c r="S80" s="626">
        <v>102750</v>
      </c>
      <c r="T80" s="626">
        <v>102750</v>
      </c>
      <c r="U80" s="626"/>
      <c r="V80" s="626"/>
    </row>
    <row r="81" spans="1:22" s="385" customFormat="1" ht="31.5" customHeight="1" x14ac:dyDescent="0.25">
      <c r="A81" s="954" t="s">
        <v>484</v>
      </c>
      <c r="B81" s="954"/>
      <c r="C81" s="622">
        <v>5553225474</v>
      </c>
      <c r="D81" s="622">
        <v>5553225474</v>
      </c>
      <c r="E81" s="622">
        <v>47244632</v>
      </c>
      <c r="F81" s="622">
        <v>47244632</v>
      </c>
      <c r="G81" s="622">
        <v>27033789</v>
      </c>
      <c r="H81" s="622">
        <v>27033789</v>
      </c>
      <c r="I81" s="622">
        <v>32713833</v>
      </c>
      <c r="J81" s="622">
        <v>32713833</v>
      </c>
      <c r="K81" s="622">
        <v>25056773</v>
      </c>
      <c r="L81" s="622">
        <v>25056773</v>
      </c>
      <c r="M81" s="622">
        <v>5895774</v>
      </c>
      <c r="N81" s="622">
        <v>5895774</v>
      </c>
      <c r="O81" s="622">
        <v>5446392</v>
      </c>
      <c r="P81" s="622">
        <v>5446392</v>
      </c>
      <c r="Q81" s="622">
        <v>36317781</v>
      </c>
      <c r="R81" s="622">
        <v>36317781</v>
      </c>
      <c r="S81" s="622">
        <v>18110624</v>
      </c>
      <c r="T81" s="622">
        <v>18110624</v>
      </c>
      <c r="U81" s="622">
        <v>10131083</v>
      </c>
      <c r="V81" s="622">
        <v>10131083</v>
      </c>
    </row>
    <row r="82" spans="1:22" s="385" customFormat="1" ht="39" customHeight="1" x14ac:dyDescent="0.25">
      <c r="A82" s="955" t="s">
        <v>478</v>
      </c>
      <c r="B82" s="955"/>
      <c r="C82" s="622">
        <f>+C81+C77+C70</f>
        <v>30551681195</v>
      </c>
      <c r="D82" s="622">
        <f>+D81+D77+D70</f>
        <v>30551681195</v>
      </c>
      <c r="E82" s="622">
        <f t="shared" ref="E82:V82" si="25">+E81+E77+E70</f>
        <v>92257947</v>
      </c>
      <c r="F82" s="622">
        <f t="shared" si="25"/>
        <v>92257947</v>
      </c>
      <c r="G82" s="622">
        <f t="shared" si="25"/>
        <v>20029834</v>
      </c>
      <c r="H82" s="622">
        <f t="shared" si="25"/>
        <v>20029834</v>
      </c>
      <c r="I82" s="622">
        <f t="shared" si="25"/>
        <v>16384913</v>
      </c>
      <c r="J82" s="622">
        <f t="shared" si="25"/>
        <v>16384913</v>
      </c>
      <c r="K82" s="622">
        <f t="shared" si="25"/>
        <v>22114640</v>
      </c>
      <c r="L82" s="622">
        <f t="shared" si="25"/>
        <v>22114640</v>
      </c>
      <c r="M82" s="622">
        <f t="shared" si="25"/>
        <v>5814183</v>
      </c>
      <c r="N82" s="622">
        <f t="shared" si="25"/>
        <v>5814183</v>
      </c>
      <c r="O82" s="622">
        <f t="shared" si="25"/>
        <v>7653703</v>
      </c>
      <c r="P82" s="622">
        <f t="shared" si="25"/>
        <v>7653703</v>
      </c>
      <c r="Q82" s="622">
        <f t="shared" si="25"/>
        <v>144081765</v>
      </c>
      <c r="R82" s="622">
        <f t="shared" si="25"/>
        <v>144081765</v>
      </c>
      <c r="S82" s="622">
        <f t="shared" si="25"/>
        <v>14103586</v>
      </c>
      <c r="T82" s="622">
        <f t="shared" si="25"/>
        <v>14103586</v>
      </c>
      <c r="U82" s="622">
        <f t="shared" si="25"/>
        <v>12585542</v>
      </c>
      <c r="V82" s="622">
        <f t="shared" si="25"/>
        <v>12585542</v>
      </c>
    </row>
    <row r="84" spans="1:22" x14ac:dyDescent="0.25">
      <c r="D84" s="438">
        <f>+D82-D69</f>
        <v>0</v>
      </c>
      <c r="E84" s="438"/>
      <c r="F84" s="438">
        <f>+F82-F69</f>
        <v>0</v>
      </c>
      <c r="G84" s="438"/>
      <c r="H84" s="438">
        <f>+H82-H69</f>
        <v>0</v>
      </c>
      <c r="I84" s="438"/>
      <c r="J84" s="438">
        <f>+J82-J69</f>
        <v>0</v>
      </c>
      <c r="K84" s="438"/>
      <c r="L84" s="438">
        <f>+L82-L69</f>
        <v>0</v>
      </c>
      <c r="M84" s="438"/>
      <c r="N84" s="438">
        <f>+N82-N69</f>
        <v>0</v>
      </c>
      <c r="O84" s="438"/>
      <c r="P84" s="438">
        <f>+P82-P69</f>
        <v>0</v>
      </c>
      <c r="Q84" s="438"/>
      <c r="R84" s="438">
        <f>+R82-R69</f>
        <v>0</v>
      </c>
      <c r="S84" s="438"/>
      <c r="T84" s="438">
        <f>+T82-T69</f>
        <v>0</v>
      </c>
      <c r="U84" s="438"/>
      <c r="V84" s="438">
        <f>+V82-V69</f>
        <v>0</v>
      </c>
    </row>
    <row r="86" spans="1:22" x14ac:dyDescent="0.25">
      <c r="D86" s="438"/>
      <c r="U86" t="s">
        <v>823</v>
      </c>
      <c r="V86" s="438">
        <f>+D69+F69+H69+J69+L69+N69+P69+R69+T69+V69</f>
        <v>30886707308</v>
      </c>
    </row>
    <row r="87" spans="1:22" x14ac:dyDescent="0.25">
      <c r="U87" t="s">
        <v>824</v>
      </c>
      <c r="V87" s="438">
        <f>+D82+F82+H82+J82+L82+N82+P82+R82+T82+V82</f>
        <v>30886707308</v>
      </c>
    </row>
  </sheetData>
  <mergeCells count="22">
    <mergeCell ref="I1:J1"/>
    <mergeCell ref="K1:L1"/>
    <mergeCell ref="A3:B3"/>
    <mergeCell ref="A1:B2"/>
    <mergeCell ref="C1:D1"/>
    <mergeCell ref="E1:F1"/>
    <mergeCell ref="G1:H1"/>
    <mergeCell ref="M1:N1"/>
    <mergeCell ref="O1:P1"/>
    <mergeCell ref="Q1:R1"/>
    <mergeCell ref="S1:T1"/>
    <mergeCell ref="U1:V1"/>
    <mergeCell ref="A70:B70"/>
    <mergeCell ref="A77:B77"/>
    <mergeCell ref="A81:B81"/>
    <mergeCell ref="A82:B82"/>
    <mergeCell ref="A54:B54"/>
    <mergeCell ref="A57:B57"/>
    <mergeCell ref="A63:B63"/>
    <mergeCell ref="A67:B67"/>
    <mergeCell ref="A68:B68"/>
    <mergeCell ref="A69:B6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&amp;CDunaharaszti Város Önkormányzata 
2022. évi zárszámadás&amp;R&amp;A</oddHeader>
    <oddFooter>&amp;C&amp;P/&amp;N</oddFooter>
  </headerFooter>
  <rowBreaks count="1" manualBreakCount="1">
    <brk id="44" max="21" man="1"/>
  </rowBreaks>
  <colBreaks count="2" manualBreakCount="2">
    <brk id="8" max="81" man="1"/>
    <brk id="16" max="8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23"/>
  <sheetViews>
    <sheetView view="pageBreakPreview" topLeftCell="A5" zoomScaleNormal="100" zoomScaleSheetLayoutView="100" workbookViewId="0">
      <selection activeCell="C20" sqref="C20"/>
    </sheetView>
  </sheetViews>
  <sheetFormatPr defaultRowHeight="12.75" x14ac:dyDescent="0.2"/>
  <cols>
    <col min="1" max="1" width="9.140625" style="221"/>
    <col min="2" max="2" width="45.7109375" style="221" customWidth="1"/>
    <col min="3" max="3" width="15.5703125" style="221" customWidth="1"/>
    <col min="4" max="4" width="12.28515625" style="221" customWidth="1"/>
    <col min="5" max="5" width="13.28515625" style="221" customWidth="1"/>
    <col min="6" max="6" width="12.42578125" style="221" customWidth="1"/>
    <col min="7" max="9" width="13.28515625" style="221" customWidth="1"/>
    <col min="10" max="10" width="16.7109375" style="221" customWidth="1"/>
    <col min="11" max="11" width="41.7109375" style="221" customWidth="1"/>
    <col min="12" max="12" width="14.7109375" style="221" bestFit="1" customWidth="1"/>
    <col min="13" max="258" width="9.140625" style="221"/>
    <col min="259" max="259" width="42.140625" style="221" customWidth="1"/>
    <col min="260" max="260" width="9.140625" style="221"/>
    <col min="261" max="261" width="12.28515625" style="221" customWidth="1"/>
    <col min="262" max="262" width="13.28515625" style="221" customWidth="1"/>
    <col min="263" max="263" width="12.42578125" style="221" customWidth="1"/>
    <col min="264" max="265" width="13.28515625" style="221" customWidth="1"/>
    <col min="266" max="266" width="16.7109375" style="221" customWidth="1"/>
    <col min="267" max="514" width="9.140625" style="221"/>
    <col min="515" max="515" width="42.140625" style="221" customWidth="1"/>
    <col min="516" max="516" width="9.140625" style="221"/>
    <col min="517" max="517" width="12.28515625" style="221" customWidth="1"/>
    <col min="518" max="518" width="13.28515625" style="221" customWidth="1"/>
    <col min="519" max="519" width="12.42578125" style="221" customWidth="1"/>
    <col min="520" max="521" width="13.28515625" style="221" customWidth="1"/>
    <col min="522" max="522" width="16.7109375" style="221" customWidth="1"/>
    <col min="523" max="770" width="9.140625" style="221"/>
    <col min="771" max="771" width="42.140625" style="221" customWidth="1"/>
    <col min="772" max="772" width="9.140625" style="221"/>
    <col min="773" max="773" width="12.28515625" style="221" customWidth="1"/>
    <col min="774" max="774" width="13.28515625" style="221" customWidth="1"/>
    <col min="775" max="775" width="12.42578125" style="221" customWidth="1"/>
    <col min="776" max="777" width="13.28515625" style="221" customWidth="1"/>
    <col min="778" max="778" width="16.7109375" style="221" customWidth="1"/>
    <col min="779" max="1026" width="9.140625" style="221"/>
    <col min="1027" max="1027" width="42.140625" style="221" customWidth="1"/>
    <col min="1028" max="1028" width="9.140625" style="221"/>
    <col min="1029" max="1029" width="12.28515625" style="221" customWidth="1"/>
    <col min="1030" max="1030" width="13.28515625" style="221" customWidth="1"/>
    <col min="1031" max="1031" width="12.42578125" style="221" customWidth="1"/>
    <col min="1032" max="1033" width="13.28515625" style="221" customWidth="1"/>
    <col min="1034" max="1034" width="16.7109375" style="221" customWidth="1"/>
    <col min="1035" max="1282" width="9.140625" style="221"/>
    <col min="1283" max="1283" width="42.140625" style="221" customWidth="1"/>
    <col min="1284" max="1284" width="9.140625" style="221"/>
    <col min="1285" max="1285" width="12.28515625" style="221" customWidth="1"/>
    <col min="1286" max="1286" width="13.28515625" style="221" customWidth="1"/>
    <col min="1287" max="1287" width="12.42578125" style="221" customWidth="1"/>
    <col min="1288" max="1289" width="13.28515625" style="221" customWidth="1"/>
    <col min="1290" max="1290" width="16.7109375" style="221" customWidth="1"/>
    <col min="1291" max="1538" width="9.140625" style="221"/>
    <col min="1539" max="1539" width="42.140625" style="221" customWidth="1"/>
    <col min="1540" max="1540" width="9.140625" style="221"/>
    <col min="1541" max="1541" width="12.28515625" style="221" customWidth="1"/>
    <col min="1542" max="1542" width="13.28515625" style="221" customWidth="1"/>
    <col min="1543" max="1543" width="12.42578125" style="221" customWidth="1"/>
    <col min="1544" max="1545" width="13.28515625" style="221" customWidth="1"/>
    <col min="1546" max="1546" width="16.7109375" style="221" customWidth="1"/>
    <col min="1547" max="1794" width="9.140625" style="221"/>
    <col min="1795" max="1795" width="42.140625" style="221" customWidth="1"/>
    <col min="1796" max="1796" width="9.140625" style="221"/>
    <col min="1797" max="1797" width="12.28515625" style="221" customWidth="1"/>
    <col min="1798" max="1798" width="13.28515625" style="221" customWidth="1"/>
    <col min="1799" max="1799" width="12.42578125" style="221" customWidth="1"/>
    <col min="1800" max="1801" width="13.28515625" style="221" customWidth="1"/>
    <col min="1802" max="1802" width="16.7109375" style="221" customWidth="1"/>
    <col min="1803" max="2050" width="9.140625" style="221"/>
    <col min="2051" max="2051" width="42.140625" style="221" customWidth="1"/>
    <col min="2052" max="2052" width="9.140625" style="221"/>
    <col min="2053" max="2053" width="12.28515625" style="221" customWidth="1"/>
    <col min="2054" max="2054" width="13.28515625" style="221" customWidth="1"/>
    <col min="2055" max="2055" width="12.42578125" style="221" customWidth="1"/>
    <col min="2056" max="2057" width="13.28515625" style="221" customWidth="1"/>
    <col min="2058" max="2058" width="16.7109375" style="221" customWidth="1"/>
    <col min="2059" max="2306" width="9.140625" style="221"/>
    <col min="2307" max="2307" width="42.140625" style="221" customWidth="1"/>
    <col min="2308" max="2308" width="9.140625" style="221"/>
    <col min="2309" max="2309" width="12.28515625" style="221" customWidth="1"/>
    <col min="2310" max="2310" width="13.28515625" style="221" customWidth="1"/>
    <col min="2311" max="2311" width="12.42578125" style="221" customWidth="1"/>
    <col min="2312" max="2313" width="13.28515625" style="221" customWidth="1"/>
    <col min="2314" max="2314" width="16.7109375" style="221" customWidth="1"/>
    <col min="2315" max="2562" width="9.140625" style="221"/>
    <col min="2563" max="2563" width="42.140625" style="221" customWidth="1"/>
    <col min="2564" max="2564" width="9.140625" style="221"/>
    <col min="2565" max="2565" width="12.28515625" style="221" customWidth="1"/>
    <col min="2566" max="2566" width="13.28515625" style="221" customWidth="1"/>
    <col min="2567" max="2567" width="12.42578125" style="221" customWidth="1"/>
    <col min="2568" max="2569" width="13.28515625" style="221" customWidth="1"/>
    <col min="2570" max="2570" width="16.7109375" style="221" customWidth="1"/>
    <col min="2571" max="2818" width="9.140625" style="221"/>
    <col min="2819" max="2819" width="42.140625" style="221" customWidth="1"/>
    <col min="2820" max="2820" width="9.140625" style="221"/>
    <col min="2821" max="2821" width="12.28515625" style="221" customWidth="1"/>
    <col min="2822" max="2822" width="13.28515625" style="221" customWidth="1"/>
    <col min="2823" max="2823" width="12.42578125" style="221" customWidth="1"/>
    <col min="2824" max="2825" width="13.28515625" style="221" customWidth="1"/>
    <col min="2826" max="2826" width="16.7109375" style="221" customWidth="1"/>
    <col min="2827" max="3074" width="9.140625" style="221"/>
    <col min="3075" max="3075" width="42.140625" style="221" customWidth="1"/>
    <col min="3076" max="3076" width="9.140625" style="221"/>
    <col min="3077" max="3077" width="12.28515625" style="221" customWidth="1"/>
    <col min="3078" max="3078" width="13.28515625" style="221" customWidth="1"/>
    <col min="3079" max="3079" width="12.42578125" style="221" customWidth="1"/>
    <col min="3080" max="3081" width="13.28515625" style="221" customWidth="1"/>
    <col min="3082" max="3082" width="16.7109375" style="221" customWidth="1"/>
    <col min="3083" max="3330" width="9.140625" style="221"/>
    <col min="3331" max="3331" width="42.140625" style="221" customWidth="1"/>
    <col min="3332" max="3332" width="9.140625" style="221"/>
    <col min="3333" max="3333" width="12.28515625" style="221" customWidth="1"/>
    <col min="3334" max="3334" width="13.28515625" style="221" customWidth="1"/>
    <col min="3335" max="3335" width="12.42578125" style="221" customWidth="1"/>
    <col min="3336" max="3337" width="13.28515625" style="221" customWidth="1"/>
    <col min="3338" max="3338" width="16.7109375" style="221" customWidth="1"/>
    <col min="3339" max="3586" width="9.140625" style="221"/>
    <col min="3587" max="3587" width="42.140625" style="221" customWidth="1"/>
    <col min="3588" max="3588" width="9.140625" style="221"/>
    <col min="3589" max="3589" width="12.28515625" style="221" customWidth="1"/>
    <col min="3590" max="3590" width="13.28515625" style="221" customWidth="1"/>
    <col min="3591" max="3591" width="12.42578125" style="221" customWidth="1"/>
    <col min="3592" max="3593" width="13.28515625" style="221" customWidth="1"/>
    <col min="3594" max="3594" width="16.7109375" style="221" customWidth="1"/>
    <col min="3595" max="3842" width="9.140625" style="221"/>
    <col min="3843" max="3843" width="42.140625" style="221" customWidth="1"/>
    <col min="3844" max="3844" width="9.140625" style="221"/>
    <col min="3845" max="3845" width="12.28515625" style="221" customWidth="1"/>
    <col min="3846" max="3846" width="13.28515625" style="221" customWidth="1"/>
    <col min="3847" max="3847" width="12.42578125" style="221" customWidth="1"/>
    <col min="3848" max="3849" width="13.28515625" style="221" customWidth="1"/>
    <col min="3850" max="3850" width="16.7109375" style="221" customWidth="1"/>
    <col min="3851" max="4098" width="9.140625" style="221"/>
    <col min="4099" max="4099" width="42.140625" style="221" customWidth="1"/>
    <col min="4100" max="4100" width="9.140625" style="221"/>
    <col min="4101" max="4101" width="12.28515625" style="221" customWidth="1"/>
    <col min="4102" max="4102" width="13.28515625" style="221" customWidth="1"/>
    <col min="4103" max="4103" width="12.42578125" style="221" customWidth="1"/>
    <col min="4104" max="4105" width="13.28515625" style="221" customWidth="1"/>
    <col min="4106" max="4106" width="16.7109375" style="221" customWidth="1"/>
    <col min="4107" max="4354" width="9.140625" style="221"/>
    <col min="4355" max="4355" width="42.140625" style="221" customWidth="1"/>
    <col min="4356" max="4356" width="9.140625" style="221"/>
    <col min="4357" max="4357" width="12.28515625" style="221" customWidth="1"/>
    <col min="4358" max="4358" width="13.28515625" style="221" customWidth="1"/>
    <col min="4359" max="4359" width="12.42578125" style="221" customWidth="1"/>
    <col min="4360" max="4361" width="13.28515625" style="221" customWidth="1"/>
    <col min="4362" max="4362" width="16.7109375" style="221" customWidth="1"/>
    <col min="4363" max="4610" width="9.140625" style="221"/>
    <col min="4611" max="4611" width="42.140625" style="221" customWidth="1"/>
    <col min="4612" max="4612" width="9.140625" style="221"/>
    <col min="4613" max="4613" width="12.28515625" style="221" customWidth="1"/>
    <col min="4614" max="4614" width="13.28515625" style="221" customWidth="1"/>
    <col min="4615" max="4615" width="12.42578125" style="221" customWidth="1"/>
    <col min="4616" max="4617" width="13.28515625" style="221" customWidth="1"/>
    <col min="4618" max="4618" width="16.7109375" style="221" customWidth="1"/>
    <col min="4619" max="4866" width="9.140625" style="221"/>
    <col min="4867" max="4867" width="42.140625" style="221" customWidth="1"/>
    <col min="4868" max="4868" width="9.140625" style="221"/>
    <col min="4869" max="4869" width="12.28515625" style="221" customWidth="1"/>
    <col min="4870" max="4870" width="13.28515625" style="221" customWidth="1"/>
    <col min="4871" max="4871" width="12.42578125" style="221" customWidth="1"/>
    <col min="4872" max="4873" width="13.28515625" style="221" customWidth="1"/>
    <col min="4874" max="4874" width="16.7109375" style="221" customWidth="1"/>
    <col min="4875" max="5122" width="9.140625" style="221"/>
    <col min="5123" max="5123" width="42.140625" style="221" customWidth="1"/>
    <col min="5124" max="5124" width="9.140625" style="221"/>
    <col min="5125" max="5125" width="12.28515625" style="221" customWidth="1"/>
    <col min="5126" max="5126" width="13.28515625" style="221" customWidth="1"/>
    <col min="5127" max="5127" width="12.42578125" style="221" customWidth="1"/>
    <col min="5128" max="5129" width="13.28515625" style="221" customWidth="1"/>
    <col min="5130" max="5130" width="16.7109375" style="221" customWidth="1"/>
    <col min="5131" max="5378" width="9.140625" style="221"/>
    <col min="5379" max="5379" width="42.140625" style="221" customWidth="1"/>
    <col min="5380" max="5380" width="9.140625" style="221"/>
    <col min="5381" max="5381" width="12.28515625" style="221" customWidth="1"/>
    <col min="5382" max="5382" width="13.28515625" style="221" customWidth="1"/>
    <col min="5383" max="5383" width="12.42578125" style="221" customWidth="1"/>
    <col min="5384" max="5385" width="13.28515625" style="221" customWidth="1"/>
    <col min="5386" max="5386" width="16.7109375" style="221" customWidth="1"/>
    <col min="5387" max="5634" width="9.140625" style="221"/>
    <col min="5635" max="5635" width="42.140625" style="221" customWidth="1"/>
    <col min="5636" max="5636" width="9.140625" style="221"/>
    <col min="5637" max="5637" width="12.28515625" style="221" customWidth="1"/>
    <col min="5638" max="5638" width="13.28515625" style="221" customWidth="1"/>
    <col min="5639" max="5639" width="12.42578125" style="221" customWidth="1"/>
    <col min="5640" max="5641" width="13.28515625" style="221" customWidth="1"/>
    <col min="5642" max="5642" width="16.7109375" style="221" customWidth="1"/>
    <col min="5643" max="5890" width="9.140625" style="221"/>
    <col min="5891" max="5891" width="42.140625" style="221" customWidth="1"/>
    <col min="5892" max="5892" width="9.140625" style="221"/>
    <col min="5893" max="5893" width="12.28515625" style="221" customWidth="1"/>
    <col min="5894" max="5894" width="13.28515625" style="221" customWidth="1"/>
    <col min="5895" max="5895" width="12.42578125" style="221" customWidth="1"/>
    <col min="5896" max="5897" width="13.28515625" style="221" customWidth="1"/>
    <col min="5898" max="5898" width="16.7109375" style="221" customWidth="1"/>
    <col min="5899" max="6146" width="9.140625" style="221"/>
    <col min="6147" max="6147" width="42.140625" style="221" customWidth="1"/>
    <col min="6148" max="6148" width="9.140625" style="221"/>
    <col min="6149" max="6149" width="12.28515625" style="221" customWidth="1"/>
    <col min="6150" max="6150" width="13.28515625" style="221" customWidth="1"/>
    <col min="6151" max="6151" width="12.42578125" style="221" customWidth="1"/>
    <col min="6152" max="6153" width="13.28515625" style="221" customWidth="1"/>
    <col min="6154" max="6154" width="16.7109375" style="221" customWidth="1"/>
    <col min="6155" max="6402" width="9.140625" style="221"/>
    <col min="6403" max="6403" width="42.140625" style="221" customWidth="1"/>
    <col min="6404" max="6404" width="9.140625" style="221"/>
    <col min="6405" max="6405" width="12.28515625" style="221" customWidth="1"/>
    <col min="6406" max="6406" width="13.28515625" style="221" customWidth="1"/>
    <col min="6407" max="6407" width="12.42578125" style="221" customWidth="1"/>
    <col min="6408" max="6409" width="13.28515625" style="221" customWidth="1"/>
    <col min="6410" max="6410" width="16.7109375" style="221" customWidth="1"/>
    <col min="6411" max="6658" width="9.140625" style="221"/>
    <col min="6659" max="6659" width="42.140625" style="221" customWidth="1"/>
    <col min="6660" max="6660" width="9.140625" style="221"/>
    <col min="6661" max="6661" width="12.28515625" style="221" customWidth="1"/>
    <col min="6662" max="6662" width="13.28515625" style="221" customWidth="1"/>
    <col min="6663" max="6663" width="12.42578125" style="221" customWidth="1"/>
    <col min="6664" max="6665" width="13.28515625" style="221" customWidth="1"/>
    <col min="6666" max="6666" width="16.7109375" style="221" customWidth="1"/>
    <col min="6667" max="6914" width="9.140625" style="221"/>
    <col min="6915" max="6915" width="42.140625" style="221" customWidth="1"/>
    <col min="6916" max="6916" width="9.140625" style="221"/>
    <col min="6917" max="6917" width="12.28515625" style="221" customWidth="1"/>
    <col min="6918" max="6918" width="13.28515625" style="221" customWidth="1"/>
    <col min="6919" max="6919" width="12.42578125" style="221" customWidth="1"/>
    <col min="6920" max="6921" width="13.28515625" style="221" customWidth="1"/>
    <col min="6922" max="6922" width="16.7109375" style="221" customWidth="1"/>
    <col min="6923" max="7170" width="9.140625" style="221"/>
    <col min="7171" max="7171" width="42.140625" style="221" customWidth="1"/>
    <col min="7172" max="7172" width="9.140625" style="221"/>
    <col min="7173" max="7173" width="12.28515625" style="221" customWidth="1"/>
    <col min="7174" max="7174" width="13.28515625" style="221" customWidth="1"/>
    <col min="7175" max="7175" width="12.42578125" style="221" customWidth="1"/>
    <col min="7176" max="7177" width="13.28515625" style="221" customWidth="1"/>
    <col min="7178" max="7178" width="16.7109375" style="221" customWidth="1"/>
    <col min="7179" max="7426" width="9.140625" style="221"/>
    <col min="7427" max="7427" width="42.140625" style="221" customWidth="1"/>
    <col min="7428" max="7428" width="9.140625" style="221"/>
    <col min="7429" max="7429" width="12.28515625" style="221" customWidth="1"/>
    <col min="7430" max="7430" width="13.28515625" style="221" customWidth="1"/>
    <col min="7431" max="7431" width="12.42578125" style="221" customWidth="1"/>
    <col min="7432" max="7433" width="13.28515625" style="221" customWidth="1"/>
    <col min="7434" max="7434" width="16.7109375" style="221" customWidth="1"/>
    <col min="7435" max="7682" width="9.140625" style="221"/>
    <col min="7683" max="7683" width="42.140625" style="221" customWidth="1"/>
    <col min="7684" max="7684" width="9.140625" style="221"/>
    <col min="7685" max="7685" width="12.28515625" style="221" customWidth="1"/>
    <col min="7686" max="7686" width="13.28515625" style="221" customWidth="1"/>
    <col min="7687" max="7687" width="12.42578125" style="221" customWidth="1"/>
    <col min="7688" max="7689" width="13.28515625" style="221" customWidth="1"/>
    <col min="7690" max="7690" width="16.7109375" style="221" customWidth="1"/>
    <col min="7691" max="7938" width="9.140625" style="221"/>
    <col min="7939" max="7939" width="42.140625" style="221" customWidth="1"/>
    <col min="7940" max="7940" width="9.140625" style="221"/>
    <col min="7941" max="7941" width="12.28515625" style="221" customWidth="1"/>
    <col min="7942" max="7942" width="13.28515625" style="221" customWidth="1"/>
    <col min="7943" max="7943" width="12.42578125" style="221" customWidth="1"/>
    <col min="7944" max="7945" width="13.28515625" style="221" customWidth="1"/>
    <col min="7946" max="7946" width="16.7109375" style="221" customWidth="1"/>
    <col min="7947" max="8194" width="9.140625" style="221"/>
    <col min="8195" max="8195" width="42.140625" style="221" customWidth="1"/>
    <col min="8196" max="8196" width="9.140625" style="221"/>
    <col min="8197" max="8197" width="12.28515625" style="221" customWidth="1"/>
    <col min="8198" max="8198" width="13.28515625" style="221" customWidth="1"/>
    <col min="8199" max="8199" width="12.42578125" style="221" customWidth="1"/>
    <col min="8200" max="8201" width="13.28515625" style="221" customWidth="1"/>
    <col min="8202" max="8202" width="16.7109375" style="221" customWidth="1"/>
    <col min="8203" max="8450" width="9.140625" style="221"/>
    <col min="8451" max="8451" width="42.140625" style="221" customWidth="1"/>
    <col min="8452" max="8452" width="9.140625" style="221"/>
    <col min="8453" max="8453" width="12.28515625" style="221" customWidth="1"/>
    <col min="8454" max="8454" width="13.28515625" style="221" customWidth="1"/>
    <col min="8455" max="8455" width="12.42578125" style="221" customWidth="1"/>
    <col min="8456" max="8457" width="13.28515625" style="221" customWidth="1"/>
    <col min="8458" max="8458" width="16.7109375" style="221" customWidth="1"/>
    <col min="8459" max="8706" width="9.140625" style="221"/>
    <col min="8707" max="8707" width="42.140625" style="221" customWidth="1"/>
    <col min="8708" max="8708" width="9.140625" style="221"/>
    <col min="8709" max="8709" width="12.28515625" style="221" customWidth="1"/>
    <col min="8710" max="8710" width="13.28515625" style="221" customWidth="1"/>
    <col min="8711" max="8711" width="12.42578125" style="221" customWidth="1"/>
    <col min="8712" max="8713" width="13.28515625" style="221" customWidth="1"/>
    <col min="8714" max="8714" width="16.7109375" style="221" customWidth="1"/>
    <col min="8715" max="8962" width="9.140625" style="221"/>
    <col min="8963" max="8963" width="42.140625" style="221" customWidth="1"/>
    <col min="8964" max="8964" width="9.140625" style="221"/>
    <col min="8965" max="8965" width="12.28515625" style="221" customWidth="1"/>
    <col min="8966" max="8966" width="13.28515625" style="221" customWidth="1"/>
    <col min="8967" max="8967" width="12.42578125" style="221" customWidth="1"/>
    <col min="8968" max="8969" width="13.28515625" style="221" customWidth="1"/>
    <col min="8970" max="8970" width="16.7109375" style="221" customWidth="1"/>
    <col min="8971" max="9218" width="9.140625" style="221"/>
    <col min="9219" max="9219" width="42.140625" style="221" customWidth="1"/>
    <col min="9220" max="9220" width="9.140625" style="221"/>
    <col min="9221" max="9221" width="12.28515625" style="221" customWidth="1"/>
    <col min="9222" max="9222" width="13.28515625" style="221" customWidth="1"/>
    <col min="9223" max="9223" width="12.42578125" style="221" customWidth="1"/>
    <col min="9224" max="9225" width="13.28515625" style="221" customWidth="1"/>
    <col min="9226" max="9226" width="16.7109375" style="221" customWidth="1"/>
    <col min="9227" max="9474" width="9.140625" style="221"/>
    <col min="9475" max="9475" width="42.140625" style="221" customWidth="1"/>
    <col min="9476" max="9476" width="9.140625" style="221"/>
    <col min="9477" max="9477" width="12.28515625" style="221" customWidth="1"/>
    <col min="9478" max="9478" width="13.28515625" style="221" customWidth="1"/>
    <col min="9479" max="9479" width="12.42578125" style="221" customWidth="1"/>
    <col min="9480" max="9481" width="13.28515625" style="221" customWidth="1"/>
    <col min="9482" max="9482" width="16.7109375" style="221" customWidth="1"/>
    <col min="9483" max="9730" width="9.140625" style="221"/>
    <col min="9731" max="9731" width="42.140625" style="221" customWidth="1"/>
    <col min="9732" max="9732" width="9.140625" style="221"/>
    <col min="9733" max="9733" width="12.28515625" style="221" customWidth="1"/>
    <col min="9734" max="9734" width="13.28515625" style="221" customWidth="1"/>
    <col min="9735" max="9735" width="12.42578125" style="221" customWidth="1"/>
    <col min="9736" max="9737" width="13.28515625" style="221" customWidth="1"/>
    <col min="9738" max="9738" width="16.7109375" style="221" customWidth="1"/>
    <col min="9739" max="9986" width="9.140625" style="221"/>
    <col min="9987" max="9987" width="42.140625" style="221" customWidth="1"/>
    <col min="9988" max="9988" width="9.140625" style="221"/>
    <col min="9989" max="9989" width="12.28515625" style="221" customWidth="1"/>
    <col min="9990" max="9990" width="13.28515625" style="221" customWidth="1"/>
    <col min="9991" max="9991" width="12.42578125" style="221" customWidth="1"/>
    <col min="9992" max="9993" width="13.28515625" style="221" customWidth="1"/>
    <col min="9994" max="9994" width="16.7109375" style="221" customWidth="1"/>
    <col min="9995" max="10242" width="9.140625" style="221"/>
    <col min="10243" max="10243" width="42.140625" style="221" customWidth="1"/>
    <col min="10244" max="10244" width="9.140625" style="221"/>
    <col min="10245" max="10245" width="12.28515625" style="221" customWidth="1"/>
    <col min="10246" max="10246" width="13.28515625" style="221" customWidth="1"/>
    <col min="10247" max="10247" width="12.42578125" style="221" customWidth="1"/>
    <col min="10248" max="10249" width="13.28515625" style="221" customWidth="1"/>
    <col min="10250" max="10250" width="16.7109375" style="221" customWidth="1"/>
    <col min="10251" max="10498" width="9.140625" style="221"/>
    <col min="10499" max="10499" width="42.140625" style="221" customWidth="1"/>
    <col min="10500" max="10500" width="9.140625" style="221"/>
    <col min="10501" max="10501" width="12.28515625" style="221" customWidth="1"/>
    <col min="10502" max="10502" width="13.28515625" style="221" customWidth="1"/>
    <col min="10503" max="10503" width="12.42578125" style="221" customWidth="1"/>
    <col min="10504" max="10505" width="13.28515625" style="221" customWidth="1"/>
    <col min="10506" max="10506" width="16.7109375" style="221" customWidth="1"/>
    <col min="10507" max="10754" width="9.140625" style="221"/>
    <col min="10755" max="10755" width="42.140625" style="221" customWidth="1"/>
    <col min="10756" max="10756" width="9.140625" style="221"/>
    <col min="10757" max="10757" width="12.28515625" style="221" customWidth="1"/>
    <col min="10758" max="10758" width="13.28515625" style="221" customWidth="1"/>
    <col min="10759" max="10759" width="12.42578125" style="221" customWidth="1"/>
    <col min="10760" max="10761" width="13.28515625" style="221" customWidth="1"/>
    <col min="10762" max="10762" width="16.7109375" style="221" customWidth="1"/>
    <col min="10763" max="11010" width="9.140625" style="221"/>
    <col min="11011" max="11011" width="42.140625" style="221" customWidth="1"/>
    <col min="11012" max="11012" width="9.140625" style="221"/>
    <col min="11013" max="11013" width="12.28515625" style="221" customWidth="1"/>
    <col min="11014" max="11014" width="13.28515625" style="221" customWidth="1"/>
    <col min="11015" max="11015" width="12.42578125" style="221" customWidth="1"/>
    <col min="11016" max="11017" width="13.28515625" style="221" customWidth="1"/>
    <col min="11018" max="11018" width="16.7109375" style="221" customWidth="1"/>
    <col min="11019" max="11266" width="9.140625" style="221"/>
    <col min="11267" max="11267" width="42.140625" style="221" customWidth="1"/>
    <col min="11268" max="11268" width="9.140625" style="221"/>
    <col min="11269" max="11269" width="12.28515625" style="221" customWidth="1"/>
    <col min="11270" max="11270" width="13.28515625" style="221" customWidth="1"/>
    <col min="11271" max="11271" width="12.42578125" style="221" customWidth="1"/>
    <col min="11272" max="11273" width="13.28515625" style="221" customWidth="1"/>
    <col min="11274" max="11274" width="16.7109375" style="221" customWidth="1"/>
    <col min="11275" max="11522" width="9.140625" style="221"/>
    <col min="11523" max="11523" width="42.140625" style="221" customWidth="1"/>
    <col min="11524" max="11524" width="9.140625" style="221"/>
    <col min="11525" max="11525" width="12.28515625" style="221" customWidth="1"/>
    <col min="11526" max="11526" width="13.28515625" style="221" customWidth="1"/>
    <col min="11527" max="11527" width="12.42578125" style="221" customWidth="1"/>
    <col min="11528" max="11529" width="13.28515625" style="221" customWidth="1"/>
    <col min="11530" max="11530" width="16.7109375" style="221" customWidth="1"/>
    <col min="11531" max="11778" width="9.140625" style="221"/>
    <col min="11779" max="11779" width="42.140625" style="221" customWidth="1"/>
    <col min="11780" max="11780" width="9.140625" style="221"/>
    <col min="11781" max="11781" width="12.28515625" style="221" customWidth="1"/>
    <col min="11782" max="11782" width="13.28515625" style="221" customWidth="1"/>
    <col min="11783" max="11783" width="12.42578125" style="221" customWidth="1"/>
    <col min="11784" max="11785" width="13.28515625" style="221" customWidth="1"/>
    <col min="11786" max="11786" width="16.7109375" style="221" customWidth="1"/>
    <col min="11787" max="12034" width="9.140625" style="221"/>
    <col min="12035" max="12035" width="42.140625" style="221" customWidth="1"/>
    <col min="12036" max="12036" width="9.140625" style="221"/>
    <col min="12037" max="12037" width="12.28515625" style="221" customWidth="1"/>
    <col min="12038" max="12038" width="13.28515625" style="221" customWidth="1"/>
    <col min="12039" max="12039" width="12.42578125" style="221" customWidth="1"/>
    <col min="12040" max="12041" width="13.28515625" style="221" customWidth="1"/>
    <col min="12042" max="12042" width="16.7109375" style="221" customWidth="1"/>
    <col min="12043" max="12290" width="9.140625" style="221"/>
    <col min="12291" max="12291" width="42.140625" style="221" customWidth="1"/>
    <col min="12292" max="12292" width="9.140625" style="221"/>
    <col min="12293" max="12293" width="12.28515625" style="221" customWidth="1"/>
    <col min="12294" max="12294" width="13.28515625" style="221" customWidth="1"/>
    <col min="12295" max="12295" width="12.42578125" style="221" customWidth="1"/>
    <col min="12296" max="12297" width="13.28515625" style="221" customWidth="1"/>
    <col min="12298" max="12298" width="16.7109375" style="221" customWidth="1"/>
    <col min="12299" max="12546" width="9.140625" style="221"/>
    <col min="12547" max="12547" width="42.140625" style="221" customWidth="1"/>
    <col min="12548" max="12548" width="9.140625" style="221"/>
    <col min="12549" max="12549" width="12.28515625" style="221" customWidth="1"/>
    <col min="12550" max="12550" width="13.28515625" style="221" customWidth="1"/>
    <col min="12551" max="12551" width="12.42578125" style="221" customWidth="1"/>
    <col min="12552" max="12553" width="13.28515625" style="221" customWidth="1"/>
    <col min="12554" max="12554" width="16.7109375" style="221" customWidth="1"/>
    <col min="12555" max="12802" width="9.140625" style="221"/>
    <col min="12803" max="12803" width="42.140625" style="221" customWidth="1"/>
    <col min="12804" max="12804" width="9.140625" style="221"/>
    <col min="12805" max="12805" width="12.28515625" style="221" customWidth="1"/>
    <col min="12806" max="12806" width="13.28515625" style="221" customWidth="1"/>
    <col min="12807" max="12807" width="12.42578125" style="221" customWidth="1"/>
    <col min="12808" max="12809" width="13.28515625" style="221" customWidth="1"/>
    <col min="12810" max="12810" width="16.7109375" style="221" customWidth="1"/>
    <col min="12811" max="13058" width="9.140625" style="221"/>
    <col min="13059" max="13059" width="42.140625" style="221" customWidth="1"/>
    <col min="13060" max="13060" width="9.140625" style="221"/>
    <col min="13061" max="13061" width="12.28515625" style="221" customWidth="1"/>
    <col min="13062" max="13062" width="13.28515625" style="221" customWidth="1"/>
    <col min="13063" max="13063" width="12.42578125" style="221" customWidth="1"/>
    <col min="13064" max="13065" width="13.28515625" style="221" customWidth="1"/>
    <col min="13066" max="13066" width="16.7109375" style="221" customWidth="1"/>
    <col min="13067" max="13314" width="9.140625" style="221"/>
    <col min="13315" max="13315" width="42.140625" style="221" customWidth="1"/>
    <col min="13316" max="13316" width="9.140625" style="221"/>
    <col min="13317" max="13317" width="12.28515625" style="221" customWidth="1"/>
    <col min="13318" max="13318" width="13.28515625" style="221" customWidth="1"/>
    <col min="13319" max="13319" width="12.42578125" style="221" customWidth="1"/>
    <col min="13320" max="13321" width="13.28515625" style="221" customWidth="1"/>
    <col min="13322" max="13322" width="16.7109375" style="221" customWidth="1"/>
    <col min="13323" max="13570" width="9.140625" style="221"/>
    <col min="13571" max="13571" width="42.140625" style="221" customWidth="1"/>
    <col min="13572" max="13572" width="9.140625" style="221"/>
    <col min="13573" max="13573" width="12.28515625" style="221" customWidth="1"/>
    <col min="13574" max="13574" width="13.28515625" style="221" customWidth="1"/>
    <col min="13575" max="13575" width="12.42578125" style="221" customWidth="1"/>
    <col min="13576" max="13577" width="13.28515625" style="221" customWidth="1"/>
    <col min="13578" max="13578" width="16.7109375" style="221" customWidth="1"/>
    <col min="13579" max="13826" width="9.140625" style="221"/>
    <col min="13827" max="13827" width="42.140625" style="221" customWidth="1"/>
    <col min="13828" max="13828" width="9.140625" style="221"/>
    <col min="13829" max="13829" width="12.28515625" style="221" customWidth="1"/>
    <col min="13830" max="13830" width="13.28515625" style="221" customWidth="1"/>
    <col min="13831" max="13831" width="12.42578125" style="221" customWidth="1"/>
    <col min="13832" max="13833" width="13.28515625" style="221" customWidth="1"/>
    <col min="13834" max="13834" width="16.7109375" style="221" customWidth="1"/>
    <col min="13835" max="14082" width="9.140625" style="221"/>
    <col min="14083" max="14083" width="42.140625" style="221" customWidth="1"/>
    <col min="14084" max="14084" width="9.140625" style="221"/>
    <col min="14085" max="14085" width="12.28515625" style="221" customWidth="1"/>
    <col min="14086" max="14086" width="13.28515625" style="221" customWidth="1"/>
    <col min="14087" max="14087" width="12.42578125" style="221" customWidth="1"/>
    <col min="14088" max="14089" width="13.28515625" style="221" customWidth="1"/>
    <col min="14090" max="14090" width="16.7109375" style="221" customWidth="1"/>
    <col min="14091" max="14338" width="9.140625" style="221"/>
    <col min="14339" max="14339" width="42.140625" style="221" customWidth="1"/>
    <col min="14340" max="14340" width="9.140625" style="221"/>
    <col min="14341" max="14341" width="12.28515625" style="221" customWidth="1"/>
    <col min="14342" max="14342" width="13.28515625" style="221" customWidth="1"/>
    <col min="14343" max="14343" width="12.42578125" style="221" customWidth="1"/>
    <col min="14344" max="14345" width="13.28515625" style="221" customWidth="1"/>
    <col min="14346" max="14346" width="16.7109375" style="221" customWidth="1"/>
    <col min="14347" max="14594" width="9.140625" style="221"/>
    <col min="14595" max="14595" width="42.140625" style="221" customWidth="1"/>
    <col min="14596" max="14596" width="9.140625" style="221"/>
    <col min="14597" max="14597" width="12.28515625" style="221" customWidth="1"/>
    <col min="14598" max="14598" width="13.28515625" style="221" customWidth="1"/>
    <col min="14599" max="14599" width="12.42578125" style="221" customWidth="1"/>
    <col min="14600" max="14601" width="13.28515625" style="221" customWidth="1"/>
    <col min="14602" max="14602" width="16.7109375" style="221" customWidth="1"/>
    <col min="14603" max="14850" width="9.140625" style="221"/>
    <col min="14851" max="14851" width="42.140625" style="221" customWidth="1"/>
    <col min="14852" max="14852" width="9.140625" style="221"/>
    <col min="14853" max="14853" width="12.28515625" style="221" customWidth="1"/>
    <col min="14854" max="14854" width="13.28515625" style="221" customWidth="1"/>
    <col min="14855" max="14855" width="12.42578125" style="221" customWidth="1"/>
    <col min="14856" max="14857" width="13.28515625" style="221" customWidth="1"/>
    <col min="14858" max="14858" width="16.7109375" style="221" customWidth="1"/>
    <col min="14859" max="15106" width="9.140625" style="221"/>
    <col min="15107" max="15107" width="42.140625" style="221" customWidth="1"/>
    <col min="15108" max="15108" width="9.140625" style="221"/>
    <col min="15109" max="15109" width="12.28515625" style="221" customWidth="1"/>
    <col min="15110" max="15110" width="13.28515625" style="221" customWidth="1"/>
    <col min="15111" max="15111" width="12.42578125" style="221" customWidth="1"/>
    <col min="15112" max="15113" width="13.28515625" style="221" customWidth="1"/>
    <col min="15114" max="15114" width="16.7109375" style="221" customWidth="1"/>
    <col min="15115" max="15362" width="9.140625" style="221"/>
    <col min="15363" max="15363" width="42.140625" style="221" customWidth="1"/>
    <col min="15364" max="15364" width="9.140625" style="221"/>
    <col min="15365" max="15365" width="12.28515625" style="221" customWidth="1"/>
    <col min="15366" max="15366" width="13.28515625" style="221" customWidth="1"/>
    <col min="15367" max="15367" width="12.42578125" style="221" customWidth="1"/>
    <col min="15368" max="15369" width="13.28515625" style="221" customWidth="1"/>
    <col min="15370" max="15370" width="16.7109375" style="221" customWidth="1"/>
    <col min="15371" max="15618" width="9.140625" style="221"/>
    <col min="15619" max="15619" width="42.140625" style="221" customWidth="1"/>
    <col min="15620" max="15620" width="9.140625" style="221"/>
    <col min="15621" max="15621" width="12.28515625" style="221" customWidth="1"/>
    <col min="15622" max="15622" width="13.28515625" style="221" customWidth="1"/>
    <col min="15623" max="15623" width="12.42578125" style="221" customWidth="1"/>
    <col min="15624" max="15625" width="13.28515625" style="221" customWidth="1"/>
    <col min="15626" max="15626" width="16.7109375" style="221" customWidth="1"/>
    <col min="15627" max="15874" width="9.140625" style="221"/>
    <col min="15875" max="15875" width="42.140625" style="221" customWidth="1"/>
    <col min="15876" max="15876" width="9.140625" style="221"/>
    <col min="15877" max="15877" width="12.28515625" style="221" customWidth="1"/>
    <col min="15878" max="15878" width="13.28515625" style="221" customWidth="1"/>
    <col min="15879" max="15879" width="12.42578125" style="221" customWidth="1"/>
    <col min="15880" max="15881" width="13.28515625" style="221" customWidth="1"/>
    <col min="15882" max="15882" width="16.7109375" style="221" customWidth="1"/>
    <col min="15883" max="16130" width="9.140625" style="221"/>
    <col min="16131" max="16131" width="42.140625" style="221" customWidth="1"/>
    <col min="16132" max="16132" width="9.140625" style="221"/>
    <col min="16133" max="16133" width="12.28515625" style="221" customWidth="1"/>
    <col min="16134" max="16134" width="13.28515625" style="221" customWidth="1"/>
    <col min="16135" max="16135" width="12.42578125" style="221" customWidth="1"/>
    <col min="16136" max="16137" width="13.28515625" style="221" customWidth="1"/>
    <col min="16138" max="16138" width="16.7109375" style="221" customWidth="1"/>
    <col min="16139" max="16384" width="9.140625" style="221"/>
  </cols>
  <sheetData>
    <row r="1" spans="1:13" ht="15.75" x14ac:dyDescent="0.2">
      <c r="A1" s="962" t="s">
        <v>571</v>
      </c>
      <c r="B1" s="962"/>
      <c r="C1" s="962"/>
      <c r="D1" s="962"/>
      <c r="E1" s="962"/>
      <c r="F1" s="962"/>
      <c r="G1" s="962"/>
      <c r="H1" s="962"/>
      <c r="I1" s="962"/>
      <c r="J1" s="962"/>
    </row>
    <row r="2" spans="1:13" ht="14.25" thickBot="1" x14ac:dyDescent="0.3">
      <c r="A2" s="173"/>
      <c r="B2" s="174"/>
      <c r="C2" s="174"/>
      <c r="D2" s="174"/>
      <c r="E2" s="174"/>
      <c r="F2" s="174"/>
      <c r="G2" s="174"/>
      <c r="H2" s="174"/>
      <c r="I2" s="174"/>
      <c r="J2" s="175"/>
    </row>
    <row r="3" spans="1:13" x14ac:dyDescent="0.2">
      <c r="A3" s="963" t="s">
        <v>572</v>
      </c>
      <c r="B3" s="965" t="s">
        <v>573</v>
      </c>
      <c r="C3" s="967" t="s">
        <v>594</v>
      </c>
      <c r="D3" s="967" t="s">
        <v>1186</v>
      </c>
      <c r="E3" s="965" t="s">
        <v>574</v>
      </c>
      <c r="F3" s="965"/>
      <c r="G3" s="965"/>
      <c r="H3" s="965"/>
      <c r="I3" s="965"/>
      <c r="J3" s="969" t="s">
        <v>80</v>
      </c>
    </row>
    <row r="4" spans="1:13" x14ac:dyDescent="0.2">
      <c r="A4" s="964"/>
      <c r="B4" s="966"/>
      <c r="C4" s="966"/>
      <c r="D4" s="968"/>
      <c r="E4" s="456" t="s">
        <v>600</v>
      </c>
      <c r="F4" s="456" t="s">
        <v>601</v>
      </c>
      <c r="G4" s="456" t="s">
        <v>602</v>
      </c>
      <c r="H4" s="456" t="s">
        <v>603</v>
      </c>
      <c r="I4" s="456" t="s">
        <v>1187</v>
      </c>
      <c r="J4" s="970"/>
    </row>
    <row r="5" spans="1:13" ht="25.5" x14ac:dyDescent="0.2">
      <c r="A5" s="455" t="s">
        <v>575</v>
      </c>
      <c r="B5" s="457" t="s">
        <v>576</v>
      </c>
      <c r="C5" s="457" t="s">
        <v>577</v>
      </c>
      <c r="D5" s="457" t="s">
        <v>578</v>
      </c>
      <c r="E5" s="457" t="s">
        <v>579</v>
      </c>
      <c r="F5" s="457" t="s">
        <v>580</v>
      </c>
      <c r="G5" s="457" t="s">
        <v>581</v>
      </c>
      <c r="H5" s="457" t="s">
        <v>582</v>
      </c>
      <c r="I5" s="457" t="s">
        <v>253</v>
      </c>
      <c r="J5" s="176" t="s">
        <v>701</v>
      </c>
    </row>
    <row r="6" spans="1:13" ht="32.25" customHeight="1" x14ac:dyDescent="0.2">
      <c r="A6" s="455" t="s">
        <v>3</v>
      </c>
      <c r="B6" s="458" t="s">
        <v>583</v>
      </c>
      <c r="C6" s="459"/>
      <c r="D6" s="460"/>
      <c r="E6" s="460"/>
      <c r="F6" s="460"/>
      <c r="G6" s="460"/>
      <c r="H6" s="460"/>
      <c r="I6" s="460"/>
      <c r="J6" s="177"/>
    </row>
    <row r="7" spans="1:13" s="178" customFormat="1" ht="36.75" customHeight="1" x14ac:dyDescent="0.2">
      <c r="A7" s="455" t="s">
        <v>4</v>
      </c>
      <c r="B7" s="458" t="s">
        <v>584</v>
      </c>
      <c r="C7" s="459"/>
      <c r="D7" s="461">
        <f t="shared" ref="D7:I7" si="0">+D8+D10+D9</f>
        <v>177460775</v>
      </c>
      <c r="E7" s="461">
        <f t="shared" si="0"/>
        <v>28182624</v>
      </c>
      <c r="F7" s="461">
        <f t="shared" si="0"/>
        <v>28182624</v>
      </c>
      <c r="G7" s="461">
        <f t="shared" si="0"/>
        <v>28182624</v>
      </c>
      <c r="H7" s="461">
        <f t="shared" si="0"/>
        <v>28182624</v>
      </c>
      <c r="I7" s="461">
        <f t="shared" si="0"/>
        <v>359301297</v>
      </c>
      <c r="J7" s="376">
        <f>SUM(D7:I7)</f>
        <v>649492568</v>
      </c>
    </row>
    <row r="8" spans="1:13" ht="23.25" customHeight="1" x14ac:dyDescent="0.2">
      <c r="A8" s="493"/>
      <c r="B8" s="618" t="s">
        <v>585</v>
      </c>
      <c r="C8" s="494" t="s">
        <v>586</v>
      </c>
      <c r="D8" s="619">
        <v>117452509</v>
      </c>
      <c r="E8" s="619">
        <f>+'4.sz.tájék.Adósságszolgálat'!B25</f>
        <v>14063032</v>
      </c>
      <c r="F8" s="619">
        <f>+'4.sz.tájék.Adósságszolgálat'!B26</f>
        <v>14063032</v>
      </c>
      <c r="G8" s="619">
        <f>+'4.sz.tájék.Adósságszolgálat'!B27</f>
        <v>14063032</v>
      </c>
      <c r="H8" s="619">
        <f>+'4.sz.tájék.Adósságszolgálat'!B28</f>
        <v>14063032</v>
      </c>
      <c r="I8" s="619">
        <v>175787931</v>
      </c>
      <c r="J8" s="495">
        <f>SUM(D8:I8)</f>
        <v>349492568</v>
      </c>
      <c r="K8" s="620">
        <v>349492568</v>
      </c>
      <c r="L8" s="747">
        <f>+K8-J8</f>
        <v>0</v>
      </c>
    </row>
    <row r="9" spans="1:13" ht="18" customHeight="1" x14ac:dyDescent="0.2">
      <c r="A9" s="493"/>
      <c r="B9" s="618" t="s">
        <v>587</v>
      </c>
      <c r="C9" s="494" t="s">
        <v>588</v>
      </c>
      <c r="D9" s="619">
        <v>41410266</v>
      </c>
      <c r="E9" s="619">
        <f>+'4.sz.tájék.Adósságszolgálat'!C25</f>
        <v>9743592</v>
      </c>
      <c r="F9" s="619">
        <f>+'4.sz.tájék.Adósságszolgálat'!C26</f>
        <v>9743592</v>
      </c>
      <c r="G9" s="619">
        <f>+'4.sz.tájék.Adósságszolgálat'!C27</f>
        <v>9743592</v>
      </c>
      <c r="H9" s="619">
        <f>+'4.sz.tájék.Adósságszolgálat'!C28</f>
        <v>9743592</v>
      </c>
      <c r="I9" s="619">
        <v>126666733</v>
      </c>
      <c r="J9" s="495">
        <f>SUM(D9:I9)</f>
        <v>207051367</v>
      </c>
      <c r="K9" s="620">
        <v>207051367</v>
      </c>
      <c r="L9" s="747">
        <f t="shared" ref="L9:L10" si="1">+K9-J9</f>
        <v>0</v>
      </c>
    </row>
    <row r="10" spans="1:13" ht="21.75" customHeight="1" x14ac:dyDescent="0.2">
      <c r="A10" s="493"/>
      <c r="B10" s="618" t="s">
        <v>589</v>
      </c>
      <c r="C10" s="494" t="s">
        <v>588</v>
      </c>
      <c r="D10" s="619">
        <v>18598000</v>
      </c>
      <c r="E10" s="619">
        <f>+'4.sz.tájék.Adósságszolgálat'!D25</f>
        <v>4376000</v>
      </c>
      <c r="F10" s="619">
        <f>+'4.sz.tájék.Adósságszolgálat'!D26</f>
        <v>4376000</v>
      </c>
      <c r="G10" s="619">
        <f>+'4.sz.tájék.Adósságszolgálat'!D27</f>
        <v>4376000</v>
      </c>
      <c r="H10" s="619">
        <f>+'4.sz.tájék.Adósságszolgálat'!D28</f>
        <v>4376000</v>
      </c>
      <c r="I10" s="619">
        <v>56846633</v>
      </c>
      <c r="J10" s="495">
        <f>SUM(D10:I10)</f>
        <v>92948633</v>
      </c>
      <c r="K10" s="620">
        <v>92948633</v>
      </c>
      <c r="L10" s="747">
        <f t="shared" si="1"/>
        <v>0</v>
      </c>
    </row>
    <row r="11" spans="1:13" ht="21" customHeight="1" x14ac:dyDescent="0.2">
      <c r="A11" s="493" t="s">
        <v>5</v>
      </c>
      <c r="B11" s="753" t="s">
        <v>590</v>
      </c>
      <c r="C11" s="494"/>
      <c r="D11" s="759">
        <f t="shared" ref="D11:J11" si="2">SUM(D12:D14)</f>
        <v>738421638</v>
      </c>
      <c r="E11" s="759">
        <f t="shared" si="2"/>
        <v>417975955</v>
      </c>
      <c r="F11" s="759">
        <f t="shared" si="2"/>
        <v>553501146</v>
      </c>
      <c r="G11" s="759">
        <f t="shared" si="2"/>
        <v>0</v>
      </c>
      <c r="H11" s="759">
        <f t="shared" si="2"/>
        <v>0</v>
      </c>
      <c r="I11" s="759">
        <f t="shared" si="2"/>
        <v>0</v>
      </c>
      <c r="J11" s="759">
        <f t="shared" si="2"/>
        <v>1709898739</v>
      </c>
      <c r="K11" s="760"/>
      <c r="L11" s="760"/>
      <c r="M11" s="751"/>
    </row>
    <row r="12" spans="1:13" ht="45.75" customHeight="1" x14ac:dyDescent="0.2">
      <c r="A12" s="493"/>
      <c r="B12" s="748" t="s">
        <v>700</v>
      </c>
      <c r="C12" s="494" t="s">
        <v>699</v>
      </c>
      <c r="D12" s="754">
        <v>708424838</v>
      </c>
      <c r="E12" s="754"/>
      <c r="F12" s="754"/>
      <c r="G12" s="754"/>
      <c r="H12" s="754"/>
      <c r="I12" s="754"/>
      <c r="J12" s="495">
        <f>SUM(D12:I12)</f>
        <v>708424838</v>
      </c>
      <c r="K12" s="491">
        <v>18837</v>
      </c>
      <c r="L12" s="752">
        <f>+J12+K12</f>
        <v>708443675</v>
      </c>
      <c r="M12" s="751"/>
    </row>
    <row r="13" spans="1:13" ht="45.75" customHeight="1" x14ac:dyDescent="0.2">
      <c r="A13" s="493"/>
      <c r="B13" s="748" t="s">
        <v>795</v>
      </c>
      <c r="C13" s="494" t="s">
        <v>794</v>
      </c>
      <c r="D13" s="754">
        <f>7429500+2400000+20167300</f>
        <v>29996800</v>
      </c>
      <c r="E13" s="754">
        <v>43985835</v>
      </c>
      <c r="F13" s="754">
        <v>553501146</v>
      </c>
      <c r="G13" s="754">
        <v>0</v>
      </c>
      <c r="H13" s="754"/>
      <c r="I13" s="754"/>
      <c r="J13" s="495">
        <f>SUM(D13:I13)</f>
        <v>627483781</v>
      </c>
      <c r="K13" s="491">
        <v>627483781</v>
      </c>
      <c r="L13" s="752"/>
      <c r="M13" s="751"/>
    </row>
    <row r="14" spans="1:13" ht="45.75" customHeight="1" x14ac:dyDescent="0.2">
      <c r="A14" s="493"/>
      <c r="B14" s="748" t="s">
        <v>894</v>
      </c>
      <c r="C14" s="749" t="s">
        <v>895</v>
      </c>
      <c r="D14" s="750">
        <v>0</v>
      </c>
      <c r="E14" s="750">
        <v>373990120</v>
      </c>
      <c r="F14" s="750"/>
      <c r="G14" s="750"/>
      <c r="H14" s="750"/>
      <c r="I14" s="750"/>
      <c r="J14" s="495">
        <f>SUM(D14:I14)</f>
        <v>373990120</v>
      </c>
      <c r="K14" s="491"/>
      <c r="L14" s="752"/>
      <c r="M14" s="751"/>
    </row>
    <row r="15" spans="1:13" ht="20.25" customHeight="1" x14ac:dyDescent="0.2">
      <c r="A15" s="493" t="s">
        <v>6</v>
      </c>
      <c r="B15" s="753" t="s">
        <v>591</v>
      </c>
      <c r="C15" s="494"/>
      <c r="D15" s="759">
        <f>SUM(D16:D18)</f>
        <v>28543561</v>
      </c>
      <c r="E15" s="759">
        <f t="shared" ref="E15:J15" si="3">SUM(E16:E18)</f>
        <v>9710337</v>
      </c>
      <c r="F15" s="759">
        <f t="shared" si="3"/>
        <v>0</v>
      </c>
      <c r="G15" s="759">
        <f t="shared" si="3"/>
        <v>0</v>
      </c>
      <c r="H15" s="759">
        <f t="shared" si="3"/>
        <v>0</v>
      </c>
      <c r="I15" s="759">
        <f t="shared" si="3"/>
        <v>0</v>
      </c>
      <c r="J15" s="759">
        <f t="shared" si="3"/>
        <v>38253898</v>
      </c>
      <c r="K15" s="491"/>
      <c r="L15" s="752">
        <f>+J15+K15</f>
        <v>38253898</v>
      </c>
      <c r="M15" s="751"/>
    </row>
    <row r="16" spans="1:13" ht="38.25" x14ac:dyDescent="0.2">
      <c r="A16" s="493"/>
      <c r="B16" s="748" t="s">
        <v>896</v>
      </c>
      <c r="C16" s="749" t="s">
        <v>895</v>
      </c>
      <c r="D16" s="750">
        <v>13543561</v>
      </c>
      <c r="E16" s="750">
        <v>330331</v>
      </c>
      <c r="F16" s="750">
        <v>0</v>
      </c>
      <c r="G16" s="750"/>
      <c r="H16" s="750"/>
      <c r="I16" s="750"/>
      <c r="J16" s="495">
        <f>SUM(D16:I16)</f>
        <v>13873892</v>
      </c>
      <c r="K16" s="751"/>
      <c r="L16" s="752"/>
      <c r="M16" s="751"/>
    </row>
    <row r="17" spans="1:15" ht="54.75" customHeight="1" x14ac:dyDescent="0.2">
      <c r="A17" s="493"/>
      <c r="B17" s="748" t="s">
        <v>897</v>
      </c>
      <c r="C17" s="749" t="s">
        <v>895</v>
      </c>
      <c r="D17" s="750">
        <v>15000000</v>
      </c>
      <c r="E17" s="750"/>
      <c r="F17" s="750"/>
      <c r="G17" s="750"/>
      <c r="H17" s="750"/>
      <c r="I17" s="750"/>
      <c r="J17" s="495">
        <f>SUM(D17:I17)</f>
        <v>15000000</v>
      </c>
      <c r="K17" s="751"/>
      <c r="L17" s="752"/>
      <c r="M17" s="751"/>
    </row>
    <row r="18" spans="1:15" ht="54.75" customHeight="1" x14ac:dyDescent="0.2">
      <c r="A18" s="755"/>
      <c r="B18" s="756" t="s">
        <v>1188</v>
      </c>
      <c r="C18" s="757" t="s">
        <v>920</v>
      </c>
      <c r="D18" s="758"/>
      <c r="E18" s="758">
        <f>8912326+467680</f>
        <v>9380006</v>
      </c>
      <c r="F18" s="758"/>
      <c r="G18" s="758"/>
      <c r="H18" s="758"/>
      <c r="I18" s="758"/>
      <c r="J18" s="495">
        <f>SUM(D18:I18)</f>
        <v>9380006</v>
      </c>
      <c r="K18" s="751"/>
      <c r="L18" s="752"/>
      <c r="M18" s="751"/>
    </row>
    <row r="19" spans="1:15" ht="17.25" customHeight="1" x14ac:dyDescent="0.2">
      <c r="A19" s="493" t="s">
        <v>7</v>
      </c>
      <c r="B19" s="753" t="s">
        <v>592</v>
      </c>
      <c r="C19" s="494"/>
      <c r="D19" s="754"/>
      <c r="E19" s="754"/>
      <c r="F19" s="754"/>
      <c r="G19" s="754"/>
      <c r="H19" s="754"/>
      <c r="I19" s="754"/>
      <c r="J19" s="495"/>
      <c r="O19" s="221">
        <f>5111108+15211170</f>
        <v>20322278</v>
      </c>
    </row>
    <row r="20" spans="1:15" ht="23.25" customHeight="1" thickBot="1" x14ac:dyDescent="0.25">
      <c r="A20" s="960" t="s">
        <v>593</v>
      </c>
      <c r="B20" s="961"/>
      <c r="C20" s="761">
        <f t="shared" ref="C20:J20" si="4">+C6+C7+C11+C15+C19</f>
        <v>0</v>
      </c>
      <c r="D20" s="761">
        <f t="shared" si="4"/>
        <v>944425974</v>
      </c>
      <c r="E20" s="761">
        <f t="shared" si="4"/>
        <v>455868916</v>
      </c>
      <c r="F20" s="761">
        <f t="shared" si="4"/>
        <v>581683770</v>
      </c>
      <c r="G20" s="761">
        <f t="shared" si="4"/>
        <v>28182624</v>
      </c>
      <c r="H20" s="761">
        <f t="shared" si="4"/>
        <v>28182624</v>
      </c>
      <c r="I20" s="761">
        <f t="shared" si="4"/>
        <v>359301297</v>
      </c>
      <c r="J20" s="762">
        <f t="shared" si="4"/>
        <v>2397645205</v>
      </c>
    </row>
    <row r="23" spans="1:15" x14ac:dyDescent="0.2">
      <c r="F23" s="492">
        <v>627483781</v>
      </c>
    </row>
  </sheetData>
  <mergeCells count="8">
    <mergeCell ref="A20:B20"/>
    <mergeCell ref="A1:J1"/>
    <mergeCell ref="A3:A4"/>
    <mergeCell ref="B3:B4"/>
    <mergeCell ref="C3:C4"/>
    <mergeCell ref="D3:D4"/>
    <mergeCell ref="E3:I3"/>
    <mergeCell ref="J3:J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8" orientation="landscape" r:id="rId1"/>
  <headerFooter>
    <oddHeader>&amp;CDunaharaszti Város Önkormányzata
2022. évi zárszámadás
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CP690"/>
  <sheetViews>
    <sheetView view="pageBreakPreview" topLeftCell="A22" zoomScaleNormal="100" zoomScaleSheetLayoutView="100" workbookViewId="0">
      <selection activeCell="B7" sqref="B7:D7"/>
    </sheetView>
  </sheetViews>
  <sheetFormatPr defaultColWidth="12.42578125" defaultRowHeight="11.25" x14ac:dyDescent="0.2"/>
  <cols>
    <col min="1" max="1" width="25.5703125" style="440" bestFit="1" customWidth="1"/>
    <col min="2" max="4" width="26.140625" style="440" bestFit="1" customWidth="1"/>
    <col min="5" max="5" width="16.42578125" style="440" bestFit="1" customWidth="1"/>
    <col min="6" max="6" width="21.85546875" style="440" customWidth="1"/>
    <col min="7" max="16384" width="12.42578125" style="440"/>
  </cols>
  <sheetData>
    <row r="1" spans="1:94" ht="14.25" customHeight="1" x14ac:dyDescent="0.25">
      <c r="A1" s="423"/>
      <c r="B1" s="423"/>
      <c r="C1" s="423"/>
      <c r="D1" s="972"/>
      <c r="E1" s="972"/>
      <c r="F1" s="423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</row>
    <row r="2" spans="1:94" s="441" customFormat="1" ht="29.25" customHeight="1" x14ac:dyDescent="0.25">
      <c r="A2" s="973" t="s">
        <v>210</v>
      </c>
      <c r="B2" s="973"/>
      <c r="C2" s="973"/>
      <c r="D2" s="973"/>
      <c r="E2" s="973"/>
      <c r="F2" s="423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</row>
    <row r="3" spans="1:94" s="274" customFormat="1" ht="14.25" customHeight="1" x14ac:dyDescent="0.25">
      <c r="A3" s="974"/>
      <c r="B3" s="974"/>
      <c r="C3" s="974"/>
      <c r="D3" s="974"/>
      <c r="E3" s="974"/>
      <c r="F3" s="974"/>
    </row>
    <row r="4" spans="1:94" s="274" customFormat="1" ht="11.25" customHeight="1" x14ac:dyDescent="0.2">
      <c r="A4" s="118"/>
      <c r="E4" s="275"/>
      <c r="F4" s="276"/>
    </row>
    <row r="5" spans="1:94" s="274" customFormat="1" ht="3" customHeight="1" thickBot="1" x14ac:dyDescent="0.25">
      <c r="F5" s="275"/>
    </row>
    <row r="6" spans="1:94" s="277" customFormat="1" ht="37.5" customHeight="1" x14ac:dyDescent="0.2">
      <c r="A6" s="975" t="s">
        <v>2</v>
      </c>
      <c r="B6" s="976" t="s">
        <v>211</v>
      </c>
      <c r="C6" s="976"/>
      <c r="D6" s="976"/>
      <c r="E6" s="977" t="s">
        <v>80</v>
      </c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</row>
    <row r="7" spans="1:94" s="442" customFormat="1" ht="26.25" customHeight="1" thickBot="1" x14ac:dyDescent="0.25">
      <c r="A7" s="975"/>
      <c r="B7" s="63">
        <f>SUM(B16:B43)</f>
        <v>349492568</v>
      </c>
      <c r="C7" s="63">
        <v>207051367</v>
      </c>
      <c r="D7" s="63">
        <v>92948633</v>
      </c>
      <c r="E7" s="978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</row>
    <row r="8" spans="1:94" s="280" customFormat="1" ht="45" customHeight="1" x14ac:dyDescent="0.2">
      <c r="A8" s="278" t="s">
        <v>212</v>
      </c>
      <c r="B8" s="279" t="s">
        <v>213</v>
      </c>
      <c r="C8" s="279" t="s">
        <v>214</v>
      </c>
      <c r="D8" s="279" t="s">
        <v>215</v>
      </c>
      <c r="E8" s="978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</row>
    <row r="9" spans="1:94" s="280" customFormat="1" ht="22.5" customHeight="1" x14ac:dyDescent="0.2">
      <c r="A9" s="278" t="s">
        <v>216</v>
      </c>
      <c r="B9" s="281">
        <v>41466</v>
      </c>
      <c r="C9" s="281">
        <v>41647</v>
      </c>
      <c r="D9" s="281">
        <v>41647</v>
      </c>
      <c r="E9" s="978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</row>
    <row r="10" spans="1:94" s="280" customFormat="1" ht="18" customHeight="1" x14ac:dyDescent="0.2">
      <c r="A10" s="282" t="s">
        <v>217</v>
      </c>
      <c r="B10" s="283"/>
      <c r="C10" s="283"/>
      <c r="D10" s="283"/>
      <c r="E10" s="978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</row>
    <row r="11" spans="1:94" s="280" customFormat="1" ht="13.5" customHeight="1" x14ac:dyDescent="0.2">
      <c r="A11" s="284" t="s">
        <v>218</v>
      </c>
      <c r="B11" s="278" t="s">
        <v>485</v>
      </c>
      <c r="C11" s="278" t="s">
        <v>486</v>
      </c>
      <c r="D11" s="278" t="s">
        <v>486</v>
      </c>
      <c r="E11" s="978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</row>
    <row r="12" spans="1:94" s="287" customFormat="1" ht="12.75" customHeight="1" x14ac:dyDescent="0.2">
      <c r="A12" s="284" t="s">
        <v>62</v>
      </c>
      <c r="B12" s="285" t="s">
        <v>3</v>
      </c>
      <c r="C12" s="285" t="s">
        <v>4</v>
      </c>
      <c r="D12" s="285" t="s">
        <v>5</v>
      </c>
      <c r="E12" s="978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</row>
    <row r="13" spans="1:94" s="290" customFormat="1" ht="31.5" customHeight="1" x14ac:dyDescent="0.2">
      <c r="A13" s="424" t="s">
        <v>219</v>
      </c>
      <c r="B13" s="288" t="s">
        <v>220</v>
      </c>
      <c r="C13" s="288" t="s">
        <v>220</v>
      </c>
      <c r="D13" s="288" t="s">
        <v>220</v>
      </c>
      <c r="E13" s="978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</row>
    <row r="14" spans="1:94" s="290" customFormat="1" ht="44.25" customHeight="1" x14ac:dyDescent="0.2">
      <c r="A14" s="291" t="s">
        <v>221</v>
      </c>
      <c r="B14" s="292"/>
      <c r="C14" s="292"/>
      <c r="D14" s="292"/>
      <c r="E14" s="97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</row>
    <row r="15" spans="1:94" s="443" customFormat="1" ht="14.25" customHeight="1" x14ac:dyDescent="0.2">
      <c r="A15" s="293" t="s">
        <v>222</v>
      </c>
      <c r="B15" s="293"/>
      <c r="C15" s="293"/>
      <c r="D15" s="293"/>
      <c r="E15" s="293" t="s">
        <v>223</v>
      </c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</row>
    <row r="16" spans="1:94" ht="15.95" customHeight="1" x14ac:dyDescent="0.2">
      <c r="A16" s="424" t="s">
        <v>488</v>
      </c>
      <c r="B16" s="47">
        <v>64716139</v>
      </c>
      <c r="C16" s="47"/>
      <c r="D16" s="47"/>
      <c r="E16" s="48">
        <f>SUM(B16:B16)</f>
        <v>64716139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</row>
    <row r="17" spans="1:94" ht="15.95" customHeight="1" x14ac:dyDescent="0.2">
      <c r="A17" s="424" t="s">
        <v>224</v>
      </c>
      <c r="B17" s="47"/>
      <c r="C17" s="47"/>
      <c r="D17" s="47"/>
      <c r="E17" s="48">
        <f>SUM(B17:B17)</f>
        <v>0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</row>
    <row r="18" spans="1:94" s="441" customFormat="1" ht="15.95" customHeight="1" x14ac:dyDescent="0.2">
      <c r="A18" s="424" t="s">
        <v>225</v>
      </c>
      <c r="B18" s="47"/>
      <c r="C18" s="47"/>
      <c r="D18" s="47"/>
      <c r="E18" s="48">
        <f>SUM(B18:B18)</f>
        <v>0</v>
      </c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</row>
    <row r="19" spans="1:94" s="441" customFormat="1" ht="15.95" customHeight="1" x14ac:dyDescent="0.2">
      <c r="A19" s="424" t="s">
        <v>226</v>
      </c>
      <c r="B19" s="47"/>
      <c r="C19" s="47"/>
      <c r="D19" s="47"/>
      <c r="E19" s="48">
        <f>SUM(B19:D19)</f>
        <v>0</v>
      </c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</row>
    <row r="20" spans="1:94" s="441" customFormat="1" ht="30" customHeight="1" x14ac:dyDescent="0.2">
      <c r="A20" s="291" t="s">
        <v>681</v>
      </c>
      <c r="B20" s="47"/>
      <c r="C20" s="47">
        <v>2435898</v>
      </c>
      <c r="D20" s="47">
        <v>1094000</v>
      </c>
      <c r="E20" s="48">
        <f>SUM(B20:D20)</f>
        <v>3529898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</row>
    <row r="21" spans="1:94" s="441" customFormat="1" ht="15.95" customHeight="1" x14ac:dyDescent="0.2">
      <c r="A21" s="424" t="s">
        <v>227</v>
      </c>
      <c r="B21" s="47">
        <v>10547274</v>
      </c>
      <c r="C21" s="47">
        <f>9743592-2435898</f>
        <v>7307694</v>
      </c>
      <c r="D21" s="47">
        <f>4376000-1094000</f>
        <v>3282000</v>
      </c>
      <c r="E21" s="48">
        <f t="shared" ref="E21:E43" si="0">SUM(B21:D21)</f>
        <v>21136968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</row>
    <row r="22" spans="1:94" s="441" customFormat="1" x14ac:dyDescent="0.2">
      <c r="A22" s="291" t="s">
        <v>682</v>
      </c>
      <c r="B22" s="47"/>
      <c r="C22" s="47">
        <v>2435898</v>
      </c>
      <c r="D22" s="47">
        <v>1094000</v>
      </c>
      <c r="E22" s="48">
        <f t="shared" si="0"/>
        <v>3529898</v>
      </c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</row>
    <row r="23" spans="1:94" s="441" customFormat="1" ht="15.95" customHeight="1" x14ac:dyDescent="0.2">
      <c r="A23" s="424" t="s">
        <v>228</v>
      </c>
      <c r="B23" s="47">
        <v>14063032</v>
      </c>
      <c r="C23" s="47">
        <v>9743592</v>
      </c>
      <c r="D23" s="47">
        <v>4376000</v>
      </c>
      <c r="E23" s="48">
        <f t="shared" si="0"/>
        <v>28182624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</row>
    <row r="24" spans="1:94" s="441" customFormat="1" ht="15.95" customHeight="1" x14ac:dyDescent="0.2">
      <c r="A24" s="424" t="s">
        <v>229</v>
      </c>
      <c r="B24" s="47">
        <v>14063032</v>
      </c>
      <c r="C24" s="47">
        <v>9743592</v>
      </c>
      <c r="D24" s="47">
        <v>4376000</v>
      </c>
      <c r="E24" s="48">
        <f t="shared" si="0"/>
        <v>28182624</v>
      </c>
      <c r="F24" s="274"/>
      <c r="G24" s="294"/>
      <c r="H24" s="295"/>
      <c r="I24" s="295"/>
      <c r="J24" s="296"/>
      <c r="K24" s="297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</row>
    <row r="25" spans="1:94" s="441" customFormat="1" ht="15.95" customHeight="1" x14ac:dyDescent="0.2">
      <c r="A25" s="424" t="s">
        <v>230</v>
      </c>
      <c r="B25" s="47">
        <v>14063032</v>
      </c>
      <c r="C25" s="47">
        <v>9743592</v>
      </c>
      <c r="D25" s="47">
        <v>4376000</v>
      </c>
      <c r="E25" s="48">
        <f t="shared" si="0"/>
        <v>28182624</v>
      </c>
      <c r="F25" s="274"/>
      <c r="G25" s="298"/>
      <c r="H25" s="298"/>
      <c r="I25" s="298"/>
      <c r="J25" s="298"/>
      <c r="K25" s="298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</row>
    <row r="26" spans="1:94" s="441" customFormat="1" ht="15.95" customHeight="1" x14ac:dyDescent="0.2">
      <c r="A26" s="424" t="s">
        <v>231</v>
      </c>
      <c r="B26" s="47">
        <v>14063032</v>
      </c>
      <c r="C26" s="47">
        <v>9743592</v>
      </c>
      <c r="D26" s="47">
        <v>4376000</v>
      </c>
      <c r="E26" s="48">
        <f t="shared" si="0"/>
        <v>28182624</v>
      </c>
      <c r="F26" s="274"/>
      <c r="G26" s="298"/>
      <c r="H26" s="298"/>
      <c r="I26" s="298"/>
      <c r="J26" s="298"/>
      <c r="K26" s="298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</row>
    <row r="27" spans="1:94" s="441" customFormat="1" ht="15.95" customHeight="1" x14ac:dyDescent="0.2">
      <c r="A27" s="424" t="s">
        <v>232</v>
      </c>
      <c r="B27" s="47">
        <v>14063032</v>
      </c>
      <c r="C27" s="47">
        <v>9743592</v>
      </c>
      <c r="D27" s="47">
        <v>4376000</v>
      </c>
      <c r="E27" s="48">
        <f t="shared" si="0"/>
        <v>28182624</v>
      </c>
      <c r="F27" s="274"/>
      <c r="G27" s="298"/>
      <c r="H27" s="298"/>
      <c r="I27" s="298"/>
      <c r="J27" s="298"/>
      <c r="K27" s="298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</row>
    <row r="28" spans="1:94" s="441" customFormat="1" ht="15.95" customHeight="1" x14ac:dyDescent="0.2">
      <c r="A28" s="424" t="s">
        <v>233</v>
      </c>
      <c r="B28" s="47">
        <v>14063032</v>
      </c>
      <c r="C28" s="47">
        <v>9743592</v>
      </c>
      <c r="D28" s="47">
        <v>4376000</v>
      </c>
      <c r="E28" s="48">
        <f t="shared" si="0"/>
        <v>28182624</v>
      </c>
      <c r="F28" s="274"/>
      <c r="G28" s="298"/>
      <c r="H28" s="298"/>
      <c r="I28" s="298"/>
      <c r="J28" s="298"/>
      <c r="K28" s="298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</row>
    <row r="29" spans="1:94" s="441" customFormat="1" ht="15.95" customHeight="1" x14ac:dyDescent="0.2">
      <c r="A29" s="424" t="s">
        <v>234</v>
      </c>
      <c r="B29" s="47">
        <v>14063032</v>
      </c>
      <c r="C29" s="47">
        <v>9743592</v>
      </c>
      <c r="D29" s="47">
        <v>4376000</v>
      </c>
      <c r="E29" s="48">
        <f t="shared" si="0"/>
        <v>28182624</v>
      </c>
      <c r="F29" s="274"/>
      <c r="G29" s="298"/>
      <c r="H29" s="298"/>
      <c r="I29" s="298"/>
      <c r="J29" s="298"/>
      <c r="K29" s="298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</row>
    <row r="30" spans="1:94" s="441" customFormat="1" ht="15.95" customHeight="1" x14ac:dyDescent="0.2">
      <c r="A30" s="424" t="s">
        <v>235</v>
      </c>
      <c r="B30" s="47">
        <v>14063032</v>
      </c>
      <c r="C30" s="47">
        <v>9743592</v>
      </c>
      <c r="D30" s="47">
        <v>4376000</v>
      </c>
      <c r="E30" s="48">
        <f t="shared" si="0"/>
        <v>28182624</v>
      </c>
      <c r="F30" s="274"/>
      <c r="G30" s="298"/>
      <c r="H30" s="298"/>
      <c r="I30" s="298"/>
      <c r="J30" s="298"/>
      <c r="K30" s="298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</row>
    <row r="31" spans="1:94" s="441" customFormat="1" ht="15.95" customHeight="1" x14ac:dyDescent="0.2">
      <c r="A31" s="424" t="s">
        <v>236</v>
      </c>
      <c r="B31" s="47">
        <v>14063032</v>
      </c>
      <c r="C31" s="47">
        <v>9743592</v>
      </c>
      <c r="D31" s="47">
        <v>4376000</v>
      </c>
      <c r="E31" s="48">
        <f t="shared" si="0"/>
        <v>28182624</v>
      </c>
      <c r="F31" s="274"/>
      <c r="G31" s="298"/>
      <c r="H31" s="298"/>
      <c r="I31" s="298"/>
      <c r="J31" s="298"/>
      <c r="K31" s="298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</row>
    <row r="32" spans="1:94" s="441" customFormat="1" ht="15.95" customHeight="1" x14ac:dyDescent="0.2">
      <c r="A32" s="424" t="s">
        <v>237</v>
      </c>
      <c r="B32" s="47">
        <v>14063032</v>
      </c>
      <c r="C32" s="47">
        <v>9743592</v>
      </c>
      <c r="D32" s="47">
        <v>4376000</v>
      </c>
      <c r="E32" s="48">
        <f t="shared" si="0"/>
        <v>28182624</v>
      </c>
      <c r="F32" s="274"/>
      <c r="G32" s="298"/>
      <c r="H32" s="298"/>
      <c r="I32" s="298"/>
      <c r="J32" s="298"/>
      <c r="K32" s="298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</row>
    <row r="33" spans="1:94" s="441" customFormat="1" ht="15.95" customHeight="1" x14ac:dyDescent="0.2">
      <c r="A33" s="424" t="s">
        <v>238</v>
      </c>
      <c r="B33" s="47">
        <v>14063032</v>
      </c>
      <c r="C33" s="47">
        <v>9743592</v>
      </c>
      <c r="D33" s="47">
        <v>4376000</v>
      </c>
      <c r="E33" s="48">
        <f t="shared" si="0"/>
        <v>28182624</v>
      </c>
      <c r="F33" s="274"/>
      <c r="G33" s="298"/>
      <c r="H33" s="298"/>
      <c r="I33" s="298"/>
      <c r="J33" s="298"/>
      <c r="K33" s="298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</row>
    <row r="34" spans="1:94" s="441" customFormat="1" ht="15.95" customHeight="1" x14ac:dyDescent="0.2">
      <c r="A34" s="424" t="s">
        <v>239</v>
      </c>
      <c r="B34" s="47">
        <v>14063032</v>
      </c>
      <c r="C34" s="47">
        <v>9743592</v>
      </c>
      <c r="D34" s="47">
        <v>4376000</v>
      </c>
      <c r="E34" s="48">
        <f t="shared" si="0"/>
        <v>28182624</v>
      </c>
      <c r="F34" s="274"/>
      <c r="G34" s="298"/>
      <c r="H34" s="298"/>
      <c r="I34" s="298"/>
      <c r="J34" s="298"/>
      <c r="K34" s="298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</row>
    <row r="35" spans="1:94" s="441" customFormat="1" ht="15.95" customHeight="1" x14ac:dyDescent="0.2">
      <c r="A35" s="424" t="s">
        <v>240</v>
      </c>
      <c r="B35" s="47">
        <v>14063032</v>
      </c>
      <c r="C35" s="47">
        <v>9743592</v>
      </c>
      <c r="D35" s="47">
        <v>4376000</v>
      </c>
      <c r="E35" s="48">
        <f t="shared" si="0"/>
        <v>28182624</v>
      </c>
      <c r="F35" s="274"/>
      <c r="G35" s="298"/>
      <c r="H35" s="298"/>
      <c r="I35" s="298"/>
      <c r="J35" s="298"/>
      <c r="K35" s="298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</row>
    <row r="36" spans="1:94" s="441" customFormat="1" ht="15.95" customHeight="1" x14ac:dyDescent="0.2">
      <c r="A36" s="424" t="s">
        <v>241</v>
      </c>
      <c r="B36" s="47">
        <v>14063032</v>
      </c>
      <c r="C36" s="47">
        <v>9743592</v>
      </c>
      <c r="D36" s="47">
        <v>4376000</v>
      </c>
      <c r="E36" s="48">
        <f t="shared" si="0"/>
        <v>28182624</v>
      </c>
      <c r="F36" s="274"/>
      <c r="G36" s="298"/>
      <c r="H36" s="298"/>
      <c r="I36" s="298"/>
      <c r="J36" s="298"/>
      <c r="K36" s="298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</row>
    <row r="37" spans="1:94" s="441" customFormat="1" ht="15.95" customHeight="1" x14ac:dyDescent="0.2">
      <c r="A37" s="424" t="s">
        <v>242</v>
      </c>
      <c r="B37" s="47">
        <v>14063032</v>
      </c>
      <c r="C37" s="47">
        <v>9743592</v>
      </c>
      <c r="D37" s="47">
        <v>4376000</v>
      </c>
      <c r="E37" s="48">
        <f t="shared" si="0"/>
        <v>28182624</v>
      </c>
      <c r="F37" s="274"/>
      <c r="G37" s="298"/>
      <c r="H37" s="298"/>
      <c r="I37" s="298"/>
      <c r="J37" s="298"/>
      <c r="K37" s="298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</row>
    <row r="38" spans="1:94" s="441" customFormat="1" ht="15.95" customHeight="1" x14ac:dyDescent="0.2">
      <c r="A38" s="424" t="s">
        <v>243</v>
      </c>
      <c r="B38" s="47">
        <v>14063032</v>
      </c>
      <c r="C38" s="47">
        <v>9743592</v>
      </c>
      <c r="D38" s="47">
        <v>4376000</v>
      </c>
      <c r="E38" s="48">
        <f t="shared" si="0"/>
        <v>28182624</v>
      </c>
      <c r="F38" s="274"/>
      <c r="G38" s="298"/>
      <c r="H38" s="298"/>
      <c r="I38" s="298"/>
      <c r="J38" s="298"/>
      <c r="K38" s="298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</row>
    <row r="39" spans="1:94" s="441" customFormat="1" ht="15.95" customHeight="1" x14ac:dyDescent="0.2">
      <c r="A39" s="424" t="s">
        <v>244</v>
      </c>
      <c r="B39" s="47">
        <v>14063032</v>
      </c>
      <c r="C39" s="47">
        <v>9743592</v>
      </c>
      <c r="D39" s="47">
        <v>4376000</v>
      </c>
      <c r="E39" s="48">
        <f t="shared" si="0"/>
        <v>28182624</v>
      </c>
      <c r="F39" s="274"/>
      <c r="G39" s="298"/>
      <c r="H39" s="298"/>
      <c r="I39" s="298"/>
      <c r="J39" s="298"/>
      <c r="K39" s="298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</row>
    <row r="40" spans="1:94" s="441" customFormat="1" ht="15.95" customHeight="1" x14ac:dyDescent="0.2">
      <c r="A40" s="424" t="s">
        <v>245</v>
      </c>
      <c r="B40" s="47">
        <v>14063032</v>
      </c>
      <c r="C40" s="47">
        <v>9743592</v>
      </c>
      <c r="D40" s="47">
        <v>4376000</v>
      </c>
      <c r="E40" s="48">
        <f t="shared" si="0"/>
        <v>28182624</v>
      </c>
      <c r="F40" s="274"/>
      <c r="G40" s="298"/>
      <c r="H40" s="298"/>
      <c r="I40" s="298"/>
      <c r="J40" s="298"/>
      <c r="K40" s="298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</row>
    <row r="41" spans="1:94" s="441" customFormat="1" ht="15.95" customHeight="1" x14ac:dyDescent="0.2">
      <c r="A41" s="424" t="s">
        <v>246</v>
      </c>
      <c r="B41" s="47">
        <v>14063032</v>
      </c>
      <c r="C41" s="47">
        <v>9743592</v>
      </c>
      <c r="D41" s="47">
        <v>4376000</v>
      </c>
      <c r="E41" s="48">
        <f t="shared" si="0"/>
        <v>28182624</v>
      </c>
      <c r="F41" s="274"/>
      <c r="G41" s="298"/>
      <c r="H41" s="298"/>
      <c r="I41" s="298"/>
      <c r="J41" s="298"/>
      <c r="K41" s="298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</row>
    <row r="42" spans="1:94" s="441" customFormat="1" ht="15.95" customHeight="1" x14ac:dyDescent="0.2">
      <c r="A42" s="424" t="s">
        <v>247</v>
      </c>
      <c r="B42" s="47">
        <v>7031547</v>
      </c>
      <c r="C42" s="47">
        <v>9743629</v>
      </c>
      <c r="D42" s="47">
        <v>4334633</v>
      </c>
      <c r="E42" s="48">
        <f t="shared" si="0"/>
        <v>21109809</v>
      </c>
      <c r="F42" s="274"/>
      <c r="G42" s="298"/>
      <c r="H42" s="298"/>
      <c r="I42" s="298"/>
      <c r="J42" s="298"/>
      <c r="K42" s="298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</row>
    <row r="43" spans="1:94" s="441" customFormat="1" ht="15.95" customHeight="1" x14ac:dyDescent="0.2">
      <c r="A43" s="299" t="s">
        <v>248</v>
      </c>
      <c r="B43" s="300"/>
      <c r="C43" s="300"/>
      <c r="D43" s="49"/>
      <c r="E43" s="48">
        <f t="shared" si="0"/>
        <v>0</v>
      </c>
      <c r="F43" s="274"/>
      <c r="G43" s="298"/>
      <c r="H43" s="298"/>
      <c r="I43" s="298"/>
      <c r="J43" s="298"/>
      <c r="K43" s="298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</row>
    <row r="44" spans="1:94" s="445" customFormat="1" ht="31.5" customHeight="1" thickBot="1" x14ac:dyDescent="0.25">
      <c r="A44" s="50" t="s">
        <v>954</v>
      </c>
      <c r="B44" s="444">
        <f>SUM(B27:B43)</f>
        <v>217977027</v>
      </c>
      <c r="C44" s="444">
        <f>SUM(C27:C43)</f>
        <v>155897509</v>
      </c>
      <c r="D44" s="444">
        <f>SUM(D27:D43)</f>
        <v>69974633</v>
      </c>
      <c r="E44" s="444">
        <f>SUM(E27:E43)</f>
        <v>443849169</v>
      </c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</row>
    <row r="45" spans="1:94" s="305" customFormat="1" ht="31.5" customHeight="1" thickTop="1" thickBot="1" x14ac:dyDescent="0.2">
      <c r="A45" s="303" t="s">
        <v>955</v>
      </c>
      <c r="B45" s="51">
        <f>+B44</f>
        <v>217977027</v>
      </c>
      <c r="C45" s="51">
        <f>+C44</f>
        <v>155897509</v>
      </c>
      <c r="D45" s="51">
        <f>+D44</f>
        <v>69974633</v>
      </c>
      <c r="E45" s="51">
        <f>SUM(B45:D45)</f>
        <v>443849169</v>
      </c>
      <c r="F45" s="304"/>
      <c r="G45" s="304"/>
    </row>
    <row r="46" spans="1:94" s="305" customFormat="1" ht="31.5" customHeight="1" thickTop="1" thickBot="1" x14ac:dyDescent="0.2">
      <c r="A46" s="52" t="s">
        <v>249</v>
      </c>
      <c r="B46" s="51">
        <v>0</v>
      </c>
      <c r="C46" s="51">
        <v>0</v>
      </c>
      <c r="D46" s="51">
        <v>0</v>
      </c>
      <c r="E46" s="51">
        <f>SUM(B46:D46)</f>
        <v>0</v>
      </c>
      <c r="F46" s="304"/>
      <c r="G46" s="304"/>
    </row>
    <row r="47" spans="1:94" s="274" customFormat="1" ht="11.25" customHeight="1" thickTop="1" x14ac:dyDescent="0.2">
      <c r="A47" s="306"/>
      <c r="B47" s="53"/>
      <c r="C47" s="53"/>
      <c r="D47" s="53"/>
      <c r="E47" s="53"/>
      <c r="F47" s="307"/>
    </row>
    <row r="48" spans="1:94" s="308" customFormat="1" ht="9" customHeight="1" x14ac:dyDescent="0.15">
      <c r="C48" s="309"/>
      <c r="D48" s="309"/>
      <c r="F48" s="310"/>
      <c r="G48" s="310"/>
    </row>
    <row r="49" spans="1:94" s="308" customFormat="1" ht="21" customHeight="1" x14ac:dyDescent="0.15">
      <c r="A49" s="971" t="s">
        <v>487</v>
      </c>
      <c r="B49" s="971"/>
      <c r="C49" s="311"/>
      <c r="D49" s="311"/>
      <c r="E49" s="312"/>
      <c r="F49" s="310"/>
      <c r="G49" s="310"/>
    </row>
    <row r="50" spans="1:94" s="274" customFormat="1" x14ac:dyDescent="0.2">
      <c r="A50" s="313"/>
      <c r="C50" s="275"/>
      <c r="D50" s="275"/>
      <c r="E50" s="314"/>
      <c r="F50" s="315"/>
      <c r="H50" s="315"/>
    </row>
    <row r="51" spans="1:94" s="274" customFormat="1" x14ac:dyDescent="0.2">
      <c r="A51" s="313"/>
      <c r="B51" s="315">
        <f>SUM(B16:B43)</f>
        <v>349492568</v>
      </c>
      <c r="C51" s="315"/>
      <c r="D51" s="315"/>
      <c r="F51" s="315"/>
    </row>
    <row r="52" spans="1:94" s="274" customFormat="1" ht="10.5" customHeight="1" x14ac:dyDescent="0.2"/>
    <row r="53" spans="1:94" s="274" customFormat="1" x14ac:dyDescent="0.2"/>
    <row r="54" spans="1:94" s="274" customFormat="1" x14ac:dyDescent="0.2">
      <c r="B54" s="307">
        <f>+B44-B45-B46</f>
        <v>0</v>
      </c>
    </row>
    <row r="55" spans="1:94" s="274" customFormat="1" x14ac:dyDescent="0.2"/>
    <row r="56" spans="1:94" s="274" customFormat="1" x14ac:dyDescent="0.2">
      <c r="B56" s="315"/>
      <c r="C56" s="315"/>
      <c r="D56" s="315"/>
      <c r="E56" s="315"/>
    </row>
    <row r="57" spans="1:94" s="316" customFormat="1" x14ac:dyDescent="0.2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</row>
    <row r="58" spans="1:94" x14ac:dyDescent="0.2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</row>
    <row r="59" spans="1:94" x14ac:dyDescent="0.2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</row>
    <row r="60" spans="1:94" x14ac:dyDescent="0.2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</row>
    <row r="61" spans="1:94" x14ac:dyDescent="0.2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</row>
    <row r="62" spans="1:94" x14ac:dyDescent="0.2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</row>
    <row r="63" spans="1:94" x14ac:dyDescent="0.2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</row>
    <row r="64" spans="1:94" x14ac:dyDescent="0.2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</row>
    <row r="65" spans="1:94" x14ac:dyDescent="0.2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</row>
    <row r="66" spans="1:94" x14ac:dyDescent="0.2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</row>
    <row r="67" spans="1:94" x14ac:dyDescent="0.2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</row>
    <row r="68" spans="1:94" x14ac:dyDescent="0.2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</row>
    <row r="69" spans="1:94" x14ac:dyDescent="0.2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</row>
    <row r="70" spans="1:94" x14ac:dyDescent="0.2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</row>
    <row r="71" spans="1:94" x14ac:dyDescent="0.2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</row>
    <row r="72" spans="1:94" x14ac:dyDescent="0.2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CG72" s="274"/>
      <c r="CH72" s="274"/>
      <c r="CI72" s="274"/>
      <c r="CJ72" s="274"/>
      <c r="CK72" s="274"/>
      <c r="CL72" s="274"/>
      <c r="CM72" s="274"/>
      <c r="CN72" s="274"/>
      <c r="CO72" s="274"/>
      <c r="CP72" s="274"/>
    </row>
    <row r="73" spans="1:94" x14ac:dyDescent="0.2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</row>
    <row r="74" spans="1:94" x14ac:dyDescent="0.2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</row>
    <row r="75" spans="1:94" x14ac:dyDescent="0.2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</row>
    <row r="76" spans="1:94" x14ac:dyDescent="0.2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</row>
    <row r="77" spans="1:94" x14ac:dyDescent="0.2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</row>
    <row r="78" spans="1:94" x14ac:dyDescent="0.2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</row>
    <row r="79" spans="1:94" x14ac:dyDescent="0.2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</row>
    <row r="80" spans="1:94" x14ac:dyDescent="0.2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</row>
    <row r="81" spans="1:94" x14ac:dyDescent="0.2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</row>
    <row r="82" spans="1:94" x14ac:dyDescent="0.2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</row>
    <row r="83" spans="1:94" x14ac:dyDescent="0.2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</row>
    <row r="84" spans="1:94" x14ac:dyDescent="0.2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</row>
    <row r="85" spans="1:94" x14ac:dyDescent="0.2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</row>
    <row r="86" spans="1:94" x14ac:dyDescent="0.2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</row>
    <row r="87" spans="1:94" x14ac:dyDescent="0.2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</row>
    <row r="88" spans="1:94" x14ac:dyDescent="0.2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</row>
    <row r="89" spans="1:94" x14ac:dyDescent="0.2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</row>
    <row r="90" spans="1:94" x14ac:dyDescent="0.2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</row>
    <row r="91" spans="1:94" x14ac:dyDescent="0.2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</row>
    <row r="92" spans="1:94" x14ac:dyDescent="0.2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</row>
    <row r="93" spans="1:94" x14ac:dyDescent="0.2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</row>
    <row r="94" spans="1:94" x14ac:dyDescent="0.2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</row>
    <row r="95" spans="1:94" x14ac:dyDescent="0.2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  <c r="CH95" s="274"/>
      <c r="CI95" s="274"/>
      <c r="CJ95" s="274"/>
      <c r="CK95" s="274"/>
      <c r="CL95" s="274"/>
      <c r="CM95" s="274"/>
      <c r="CN95" s="274"/>
      <c r="CO95" s="274"/>
      <c r="CP95" s="274"/>
    </row>
    <row r="96" spans="1:94" x14ac:dyDescent="0.2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</row>
    <row r="97" spans="1:94" x14ac:dyDescent="0.2">
      <c r="A97" s="274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</row>
    <row r="98" spans="1:94" x14ac:dyDescent="0.2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</row>
    <row r="99" spans="1:94" x14ac:dyDescent="0.2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4"/>
    </row>
    <row r="100" spans="1:94" x14ac:dyDescent="0.2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274"/>
      <c r="CP100" s="274"/>
    </row>
    <row r="101" spans="1:94" x14ac:dyDescent="0.2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4"/>
      <c r="BU101" s="274"/>
      <c r="BV101" s="274"/>
      <c r="BW101" s="274"/>
      <c r="BX101" s="274"/>
      <c r="BY101" s="274"/>
      <c r="BZ101" s="274"/>
      <c r="CA101" s="274"/>
      <c r="CB101" s="274"/>
      <c r="CC101" s="274"/>
      <c r="CD101" s="274"/>
      <c r="CE101" s="274"/>
      <c r="CF101" s="274"/>
      <c r="CG101" s="274"/>
      <c r="CH101" s="274"/>
      <c r="CI101" s="274"/>
      <c r="CJ101" s="274"/>
      <c r="CK101" s="274"/>
      <c r="CL101" s="274"/>
      <c r="CM101" s="274"/>
      <c r="CN101" s="274"/>
      <c r="CO101" s="274"/>
      <c r="CP101" s="274"/>
    </row>
    <row r="102" spans="1:94" x14ac:dyDescent="0.2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4"/>
      <c r="BQ102" s="274"/>
      <c r="BR102" s="274"/>
      <c r="BS102" s="274"/>
      <c r="BT102" s="274"/>
      <c r="BU102" s="274"/>
      <c r="BV102" s="274"/>
      <c r="BW102" s="274"/>
      <c r="BX102" s="274"/>
      <c r="BY102" s="274"/>
      <c r="BZ102" s="274"/>
      <c r="CA102" s="274"/>
      <c r="CB102" s="274"/>
      <c r="CC102" s="274"/>
      <c r="CD102" s="274"/>
      <c r="CE102" s="274"/>
      <c r="CF102" s="274"/>
      <c r="CG102" s="274"/>
      <c r="CH102" s="274"/>
      <c r="CI102" s="274"/>
      <c r="CJ102" s="274"/>
      <c r="CK102" s="274"/>
      <c r="CL102" s="274"/>
      <c r="CM102" s="274"/>
      <c r="CN102" s="274"/>
      <c r="CO102" s="274"/>
      <c r="CP102" s="274"/>
    </row>
    <row r="103" spans="1:94" x14ac:dyDescent="0.2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4"/>
      <c r="BF103" s="274"/>
      <c r="BG103" s="274"/>
      <c r="BH103" s="274"/>
      <c r="BI103" s="274"/>
      <c r="BJ103" s="274"/>
      <c r="BK103" s="274"/>
      <c r="BL103" s="274"/>
      <c r="BM103" s="274"/>
      <c r="BN103" s="274"/>
      <c r="BO103" s="274"/>
      <c r="BP103" s="274"/>
      <c r="BQ103" s="274"/>
      <c r="BR103" s="274"/>
      <c r="BS103" s="274"/>
      <c r="BT103" s="274"/>
      <c r="BU103" s="274"/>
      <c r="BV103" s="274"/>
      <c r="BW103" s="274"/>
      <c r="BX103" s="274"/>
      <c r="BY103" s="274"/>
      <c r="BZ103" s="274"/>
      <c r="CA103" s="274"/>
      <c r="CB103" s="274"/>
      <c r="CC103" s="274"/>
      <c r="CD103" s="274"/>
      <c r="CE103" s="274"/>
      <c r="CF103" s="274"/>
      <c r="CG103" s="274"/>
      <c r="CH103" s="274"/>
      <c r="CI103" s="274"/>
      <c r="CJ103" s="274"/>
      <c r="CK103" s="274"/>
      <c r="CL103" s="274"/>
      <c r="CM103" s="274"/>
      <c r="CN103" s="274"/>
      <c r="CO103" s="274"/>
      <c r="CP103" s="274"/>
    </row>
    <row r="104" spans="1:94" x14ac:dyDescent="0.2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</row>
    <row r="105" spans="1:94" x14ac:dyDescent="0.2">
      <c r="A105" s="274"/>
      <c r="B105" s="274"/>
      <c r="C105" s="274"/>
      <c r="D105" s="274"/>
      <c r="E105" s="274"/>
      <c r="F105" s="274"/>
      <c r="G105" s="274"/>
      <c r="H105" s="446"/>
    </row>
    <row r="106" spans="1:94" x14ac:dyDescent="0.2">
      <c r="A106" s="274"/>
      <c r="B106" s="274"/>
      <c r="C106" s="274"/>
      <c r="D106" s="274"/>
      <c r="E106" s="274"/>
      <c r="F106" s="274"/>
      <c r="G106" s="274"/>
      <c r="H106" s="446"/>
    </row>
    <row r="107" spans="1:94" x14ac:dyDescent="0.2">
      <c r="A107" s="274"/>
      <c r="B107" s="274"/>
      <c r="C107" s="274"/>
      <c r="D107" s="274"/>
      <c r="E107" s="274"/>
      <c r="F107" s="274"/>
      <c r="G107" s="274"/>
      <c r="H107" s="446"/>
    </row>
    <row r="108" spans="1:94" x14ac:dyDescent="0.2">
      <c r="A108" s="274"/>
      <c r="B108" s="274"/>
      <c r="C108" s="274"/>
      <c r="D108" s="274"/>
      <c r="E108" s="274"/>
      <c r="F108" s="274"/>
      <c r="G108" s="274"/>
      <c r="H108" s="446"/>
    </row>
    <row r="109" spans="1:94" x14ac:dyDescent="0.2">
      <c r="A109" s="274"/>
      <c r="B109" s="274"/>
      <c r="C109" s="274"/>
      <c r="D109" s="274"/>
      <c r="E109" s="274"/>
      <c r="F109" s="274"/>
      <c r="G109" s="274"/>
      <c r="H109" s="446"/>
    </row>
    <row r="110" spans="1:94" x14ac:dyDescent="0.2">
      <c r="A110" s="274"/>
      <c r="B110" s="274"/>
      <c r="C110" s="274"/>
      <c r="D110" s="274"/>
      <c r="E110" s="274"/>
      <c r="F110" s="274"/>
      <c r="G110" s="274"/>
      <c r="H110" s="446"/>
    </row>
    <row r="111" spans="1:94" x14ac:dyDescent="0.2">
      <c r="A111" s="274"/>
      <c r="B111" s="274"/>
      <c r="C111" s="274"/>
      <c r="D111" s="274"/>
      <c r="E111" s="274"/>
      <c r="F111" s="274"/>
      <c r="G111" s="274"/>
      <c r="H111" s="446"/>
    </row>
    <row r="112" spans="1:94" x14ac:dyDescent="0.2">
      <c r="A112" s="274"/>
      <c r="B112" s="274"/>
      <c r="C112" s="274"/>
      <c r="D112" s="274"/>
      <c r="E112" s="274"/>
      <c r="F112" s="274"/>
      <c r="G112" s="274"/>
      <c r="H112" s="446"/>
    </row>
    <row r="113" spans="1:8" x14ac:dyDescent="0.2">
      <c r="A113" s="274"/>
      <c r="B113" s="274"/>
      <c r="C113" s="274"/>
      <c r="D113" s="274"/>
      <c r="E113" s="274"/>
      <c r="F113" s="274"/>
      <c r="G113" s="274"/>
      <c r="H113" s="446"/>
    </row>
    <row r="114" spans="1:8" x14ac:dyDescent="0.2">
      <c r="A114" s="274"/>
      <c r="B114" s="274"/>
      <c r="C114" s="274"/>
      <c r="D114" s="274"/>
      <c r="E114" s="274"/>
      <c r="F114" s="274"/>
      <c r="G114" s="274"/>
      <c r="H114" s="446"/>
    </row>
    <row r="115" spans="1:8" x14ac:dyDescent="0.2">
      <c r="A115" s="274"/>
      <c r="B115" s="274"/>
      <c r="C115" s="274"/>
      <c r="D115" s="274"/>
      <c r="E115" s="274"/>
      <c r="F115" s="274"/>
      <c r="G115" s="274"/>
      <c r="H115" s="446"/>
    </row>
    <row r="116" spans="1:8" x14ac:dyDescent="0.2">
      <c r="A116" s="274"/>
      <c r="B116" s="274"/>
      <c r="C116" s="274"/>
      <c r="D116" s="274"/>
      <c r="E116" s="274"/>
      <c r="F116" s="274"/>
      <c r="G116" s="274"/>
      <c r="H116" s="446"/>
    </row>
    <row r="117" spans="1:8" x14ac:dyDescent="0.2">
      <c r="A117" s="274"/>
      <c r="B117" s="274"/>
      <c r="C117" s="274"/>
      <c r="D117" s="274"/>
      <c r="E117" s="274"/>
      <c r="F117" s="274"/>
      <c r="G117" s="274"/>
      <c r="H117" s="446"/>
    </row>
    <row r="118" spans="1:8" x14ac:dyDescent="0.2">
      <c r="A118" s="274"/>
      <c r="B118" s="274"/>
      <c r="C118" s="274"/>
      <c r="D118" s="274"/>
      <c r="E118" s="274"/>
      <c r="F118" s="274"/>
      <c r="G118" s="274"/>
      <c r="H118" s="446"/>
    </row>
    <row r="119" spans="1:8" x14ac:dyDescent="0.2">
      <c r="A119" s="274"/>
      <c r="B119" s="274"/>
      <c r="C119" s="274"/>
      <c r="D119" s="274"/>
      <c r="E119" s="274"/>
      <c r="F119" s="274"/>
      <c r="G119" s="274"/>
      <c r="H119" s="446"/>
    </row>
    <row r="120" spans="1:8" x14ac:dyDescent="0.2">
      <c r="A120" s="274"/>
      <c r="B120" s="274"/>
      <c r="C120" s="274"/>
      <c r="D120" s="274"/>
      <c r="E120" s="274"/>
      <c r="F120" s="274"/>
      <c r="G120" s="274"/>
      <c r="H120" s="446"/>
    </row>
    <row r="121" spans="1:8" x14ac:dyDescent="0.2">
      <c r="A121" s="274"/>
      <c r="B121" s="274"/>
      <c r="C121" s="274"/>
      <c r="D121" s="274"/>
      <c r="E121" s="274"/>
      <c r="F121" s="274"/>
      <c r="G121" s="274"/>
      <c r="H121" s="446"/>
    </row>
    <row r="122" spans="1:8" x14ac:dyDescent="0.2">
      <c r="A122" s="274"/>
      <c r="B122" s="274"/>
      <c r="C122" s="274"/>
      <c r="D122" s="274"/>
      <c r="E122" s="274"/>
      <c r="F122" s="274"/>
      <c r="G122" s="274"/>
      <c r="H122" s="446"/>
    </row>
    <row r="123" spans="1:8" x14ac:dyDescent="0.2">
      <c r="A123" s="274"/>
      <c r="B123" s="274"/>
      <c r="C123" s="274"/>
      <c r="D123" s="274"/>
      <c r="E123" s="274"/>
      <c r="F123" s="274"/>
      <c r="G123" s="274"/>
      <c r="H123" s="446"/>
    </row>
    <row r="124" spans="1:8" x14ac:dyDescent="0.2">
      <c r="A124" s="274"/>
      <c r="B124" s="274"/>
      <c r="C124" s="274"/>
      <c r="D124" s="274"/>
      <c r="E124" s="274"/>
      <c r="F124" s="274"/>
      <c r="G124" s="274"/>
      <c r="H124" s="446"/>
    </row>
    <row r="125" spans="1:8" x14ac:dyDescent="0.2">
      <c r="A125" s="274"/>
      <c r="B125" s="274"/>
      <c r="C125" s="274"/>
      <c r="D125" s="274"/>
      <c r="E125" s="274"/>
      <c r="F125" s="274"/>
      <c r="G125" s="274"/>
      <c r="H125" s="446"/>
    </row>
    <row r="126" spans="1:8" x14ac:dyDescent="0.2">
      <c r="A126" s="274"/>
      <c r="B126" s="274"/>
      <c r="C126" s="274"/>
      <c r="D126" s="274"/>
      <c r="E126" s="274"/>
      <c r="F126" s="274"/>
      <c r="G126" s="274"/>
      <c r="H126" s="446"/>
    </row>
    <row r="127" spans="1:8" x14ac:dyDescent="0.2">
      <c r="A127" s="274"/>
      <c r="B127" s="274"/>
      <c r="C127" s="274"/>
      <c r="D127" s="274"/>
      <c r="E127" s="274"/>
      <c r="F127" s="274"/>
      <c r="G127" s="274"/>
      <c r="H127" s="446"/>
    </row>
    <row r="128" spans="1:8" x14ac:dyDescent="0.2">
      <c r="A128" s="274"/>
      <c r="B128" s="274"/>
      <c r="C128" s="274"/>
      <c r="D128" s="274"/>
      <c r="E128" s="274"/>
      <c r="F128" s="274"/>
      <c r="G128" s="274"/>
      <c r="H128" s="446"/>
    </row>
    <row r="129" spans="1:8" x14ac:dyDescent="0.2">
      <c r="A129" s="274"/>
      <c r="B129" s="274"/>
      <c r="C129" s="274"/>
      <c r="D129" s="274"/>
      <c r="E129" s="274"/>
      <c r="F129" s="274"/>
      <c r="G129" s="274"/>
      <c r="H129" s="446"/>
    </row>
    <row r="130" spans="1:8" x14ac:dyDescent="0.2">
      <c r="A130" s="274"/>
      <c r="B130" s="274"/>
      <c r="C130" s="274"/>
      <c r="D130" s="274"/>
      <c r="E130" s="274"/>
      <c r="F130" s="274"/>
      <c r="G130" s="274"/>
      <c r="H130" s="446"/>
    </row>
    <row r="131" spans="1:8" x14ac:dyDescent="0.2">
      <c r="A131" s="274"/>
      <c r="B131" s="274"/>
      <c r="C131" s="274"/>
      <c r="D131" s="274"/>
      <c r="E131" s="274"/>
      <c r="F131" s="274"/>
      <c r="G131" s="274"/>
      <c r="H131" s="446"/>
    </row>
    <row r="132" spans="1:8" x14ac:dyDescent="0.2">
      <c r="A132" s="274"/>
      <c r="B132" s="274"/>
      <c r="C132" s="274"/>
      <c r="D132" s="274"/>
      <c r="E132" s="274"/>
      <c r="F132" s="274"/>
      <c r="G132" s="274"/>
      <c r="H132" s="446"/>
    </row>
    <row r="133" spans="1:8" x14ac:dyDescent="0.2">
      <c r="A133" s="274"/>
      <c r="B133" s="274"/>
      <c r="C133" s="274"/>
      <c r="D133" s="274"/>
      <c r="E133" s="274"/>
      <c r="F133" s="274"/>
      <c r="G133" s="274"/>
      <c r="H133" s="446"/>
    </row>
    <row r="134" spans="1:8" x14ac:dyDescent="0.2">
      <c r="A134" s="274"/>
      <c r="B134" s="274"/>
      <c r="C134" s="274"/>
      <c r="D134" s="274"/>
      <c r="E134" s="274"/>
      <c r="F134" s="274"/>
      <c r="G134" s="274"/>
      <c r="H134" s="446"/>
    </row>
    <row r="135" spans="1:8" x14ac:dyDescent="0.2">
      <c r="A135" s="274"/>
      <c r="B135" s="274"/>
      <c r="C135" s="274"/>
      <c r="D135" s="274"/>
      <c r="E135" s="274"/>
      <c r="F135" s="274"/>
      <c r="G135" s="274"/>
      <c r="H135" s="446"/>
    </row>
    <row r="136" spans="1:8" x14ac:dyDescent="0.2">
      <c r="A136" s="274"/>
      <c r="B136" s="274"/>
      <c r="C136" s="274"/>
      <c r="D136" s="274"/>
      <c r="E136" s="274"/>
      <c r="F136" s="274"/>
      <c r="G136" s="274"/>
      <c r="H136" s="446"/>
    </row>
    <row r="137" spans="1:8" x14ac:dyDescent="0.2">
      <c r="A137" s="274"/>
      <c r="B137" s="274"/>
      <c r="C137" s="274"/>
      <c r="D137" s="274"/>
      <c r="E137" s="274"/>
      <c r="F137" s="274"/>
      <c r="G137" s="274"/>
      <c r="H137" s="446"/>
    </row>
    <row r="138" spans="1:8" x14ac:dyDescent="0.2">
      <c r="A138" s="274"/>
      <c r="B138" s="274"/>
      <c r="C138" s="274"/>
      <c r="D138" s="274"/>
      <c r="E138" s="274"/>
      <c r="F138" s="274"/>
      <c r="G138" s="274"/>
      <c r="H138" s="446"/>
    </row>
    <row r="139" spans="1:8" x14ac:dyDescent="0.2">
      <c r="A139" s="274"/>
      <c r="B139" s="274"/>
      <c r="C139" s="274"/>
      <c r="D139" s="274"/>
      <c r="E139" s="274"/>
      <c r="F139" s="274"/>
      <c r="G139" s="274"/>
      <c r="H139" s="446"/>
    </row>
    <row r="140" spans="1:8" x14ac:dyDescent="0.2">
      <c r="A140" s="274"/>
      <c r="B140" s="274"/>
      <c r="C140" s="274"/>
      <c r="D140" s="274"/>
      <c r="E140" s="274"/>
      <c r="F140" s="274"/>
      <c r="G140" s="274"/>
      <c r="H140" s="446"/>
    </row>
    <row r="141" spans="1:8" x14ac:dyDescent="0.2">
      <c r="A141" s="274"/>
      <c r="B141" s="274"/>
      <c r="C141" s="274"/>
      <c r="D141" s="274"/>
      <c r="E141" s="274"/>
      <c r="F141" s="274"/>
      <c r="G141" s="274"/>
      <c r="H141" s="446"/>
    </row>
    <row r="142" spans="1:8" x14ac:dyDescent="0.2">
      <c r="A142" s="274"/>
      <c r="B142" s="274"/>
      <c r="C142" s="274"/>
      <c r="D142" s="274"/>
      <c r="E142" s="274"/>
      <c r="F142" s="274"/>
      <c r="G142" s="274"/>
      <c r="H142" s="446"/>
    </row>
    <row r="143" spans="1:8" x14ac:dyDescent="0.2">
      <c r="A143" s="274"/>
      <c r="B143" s="274"/>
      <c r="C143" s="274"/>
      <c r="D143" s="274"/>
      <c r="E143" s="274"/>
      <c r="F143" s="274"/>
      <c r="G143" s="274"/>
      <c r="H143" s="446"/>
    </row>
    <row r="144" spans="1:8" x14ac:dyDescent="0.2">
      <c r="A144" s="274"/>
      <c r="B144" s="274"/>
      <c r="C144" s="274"/>
      <c r="D144" s="274"/>
      <c r="E144" s="274"/>
      <c r="F144" s="274"/>
      <c r="G144" s="274"/>
      <c r="H144" s="446"/>
    </row>
    <row r="145" spans="1:8" x14ac:dyDescent="0.2">
      <c r="A145" s="274"/>
      <c r="B145" s="274"/>
      <c r="C145" s="274"/>
      <c r="D145" s="274"/>
      <c r="E145" s="274"/>
      <c r="F145" s="274"/>
      <c r="G145" s="274"/>
      <c r="H145" s="446"/>
    </row>
    <row r="146" spans="1:8" x14ac:dyDescent="0.2">
      <c r="A146" s="274"/>
      <c r="B146" s="274"/>
      <c r="C146" s="274"/>
      <c r="D146" s="274"/>
      <c r="E146" s="274"/>
      <c r="F146" s="274"/>
      <c r="G146" s="274"/>
      <c r="H146" s="446"/>
    </row>
    <row r="147" spans="1:8" x14ac:dyDescent="0.2">
      <c r="A147" s="274"/>
      <c r="B147" s="274"/>
      <c r="C147" s="274"/>
      <c r="D147" s="274"/>
      <c r="E147" s="274"/>
      <c r="F147" s="274"/>
      <c r="G147" s="274"/>
      <c r="H147" s="446"/>
    </row>
    <row r="148" spans="1:8" x14ac:dyDescent="0.2">
      <c r="A148" s="274"/>
      <c r="B148" s="274"/>
      <c r="C148" s="274"/>
      <c r="D148" s="274"/>
      <c r="E148" s="274"/>
      <c r="F148" s="274"/>
      <c r="G148" s="274"/>
      <c r="H148" s="446"/>
    </row>
    <row r="149" spans="1:8" x14ac:dyDescent="0.2">
      <c r="A149" s="274"/>
      <c r="B149" s="274"/>
      <c r="C149" s="274"/>
      <c r="D149" s="274"/>
      <c r="E149" s="274"/>
      <c r="F149" s="274"/>
      <c r="G149" s="274"/>
      <c r="H149" s="446"/>
    </row>
    <row r="150" spans="1:8" x14ac:dyDescent="0.2">
      <c r="A150" s="274"/>
      <c r="B150" s="274"/>
      <c r="C150" s="274"/>
      <c r="D150" s="274"/>
      <c r="E150" s="274"/>
      <c r="F150" s="274"/>
      <c r="G150" s="274"/>
      <c r="H150" s="446"/>
    </row>
    <row r="151" spans="1:8" x14ac:dyDescent="0.2">
      <c r="A151" s="274"/>
      <c r="B151" s="274"/>
      <c r="C151" s="274"/>
      <c r="D151" s="274"/>
      <c r="E151" s="274"/>
      <c r="F151" s="274"/>
      <c r="G151" s="274"/>
      <c r="H151" s="446"/>
    </row>
    <row r="152" spans="1:8" x14ac:dyDescent="0.2">
      <c r="A152" s="274"/>
      <c r="B152" s="274"/>
      <c r="C152" s="274"/>
      <c r="D152" s="274"/>
      <c r="E152" s="274"/>
      <c r="F152" s="274"/>
      <c r="G152" s="274"/>
      <c r="H152" s="446"/>
    </row>
    <row r="153" spans="1:8" x14ac:dyDescent="0.2">
      <c r="A153" s="274"/>
      <c r="B153" s="274"/>
      <c r="C153" s="274"/>
      <c r="D153" s="274"/>
      <c r="E153" s="274"/>
      <c r="F153" s="274"/>
      <c r="G153" s="274"/>
      <c r="H153" s="446"/>
    </row>
    <row r="154" spans="1:8" x14ac:dyDescent="0.2">
      <c r="A154" s="274"/>
      <c r="B154" s="274"/>
      <c r="C154" s="274"/>
      <c r="D154" s="274"/>
      <c r="E154" s="274"/>
      <c r="F154" s="274"/>
      <c r="G154" s="274"/>
      <c r="H154" s="446"/>
    </row>
    <row r="155" spans="1:8" x14ac:dyDescent="0.2">
      <c r="A155" s="274"/>
      <c r="B155" s="274"/>
      <c r="C155" s="274"/>
      <c r="D155" s="274"/>
      <c r="E155" s="274"/>
      <c r="F155" s="274"/>
      <c r="G155" s="274"/>
      <c r="H155" s="446"/>
    </row>
    <row r="156" spans="1:8" x14ac:dyDescent="0.2">
      <c r="A156" s="274"/>
      <c r="B156" s="274"/>
      <c r="C156" s="274"/>
      <c r="D156" s="274"/>
      <c r="E156" s="274"/>
      <c r="F156" s="274"/>
      <c r="G156" s="274"/>
      <c r="H156" s="446"/>
    </row>
    <row r="157" spans="1:8" x14ac:dyDescent="0.2">
      <c r="A157" s="274"/>
      <c r="B157" s="274"/>
      <c r="C157" s="274"/>
      <c r="D157" s="274"/>
      <c r="E157" s="274"/>
      <c r="F157" s="274"/>
      <c r="G157" s="274"/>
      <c r="H157" s="446"/>
    </row>
    <row r="158" spans="1:8" x14ac:dyDescent="0.2">
      <c r="A158" s="274"/>
      <c r="B158" s="274"/>
      <c r="C158" s="274"/>
      <c r="D158" s="274"/>
      <c r="E158" s="274"/>
      <c r="F158" s="274"/>
      <c r="G158" s="274"/>
      <c r="H158" s="446"/>
    </row>
    <row r="159" spans="1:8" x14ac:dyDescent="0.2">
      <c r="A159" s="274"/>
      <c r="B159" s="274"/>
      <c r="C159" s="274"/>
      <c r="D159" s="274"/>
      <c r="E159" s="274"/>
      <c r="F159" s="274"/>
      <c r="G159" s="274"/>
      <c r="H159" s="446"/>
    </row>
    <row r="160" spans="1:8" x14ac:dyDescent="0.2">
      <c r="A160" s="274"/>
      <c r="B160" s="274"/>
      <c r="C160" s="274"/>
      <c r="D160" s="274"/>
      <c r="E160" s="274"/>
      <c r="F160" s="274"/>
      <c r="G160" s="274"/>
      <c r="H160" s="446"/>
    </row>
    <row r="161" spans="1:8" x14ac:dyDescent="0.2">
      <c r="A161" s="274"/>
      <c r="B161" s="274"/>
      <c r="C161" s="274"/>
      <c r="D161" s="274"/>
      <c r="E161" s="274"/>
      <c r="F161" s="274"/>
      <c r="G161" s="274"/>
      <c r="H161" s="446"/>
    </row>
    <row r="162" spans="1:8" x14ac:dyDescent="0.2">
      <c r="A162" s="274"/>
      <c r="B162" s="274"/>
      <c r="C162" s="274"/>
      <c r="D162" s="274"/>
      <c r="E162" s="274"/>
      <c r="F162" s="274"/>
      <c r="G162" s="274"/>
      <c r="H162" s="446"/>
    </row>
    <row r="163" spans="1:8" x14ac:dyDescent="0.2">
      <c r="A163" s="274"/>
      <c r="B163" s="274"/>
      <c r="C163" s="274"/>
      <c r="D163" s="274"/>
      <c r="E163" s="274"/>
      <c r="F163" s="274"/>
      <c r="G163" s="274"/>
      <c r="H163" s="446"/>
    </row>
    <row r="164" spans="1:8" x14ac:dyDescent="0.2">
      <c r="A164" s="274"/>
      <c r="B164" s="274"/>
      <c r="C164" s="274"/>
      <c r="D164" s="274"/>
      <c r="E164" s="274"/>
      <c r="F164" s="274"/>
      <c r="G164" s="274"/>
      <c r="H164" s="446"/>
    </row>
    <row r="165" spans="1:8" x14ac:dyDescent="0.2">
      <c r="A165" s="274"/>
      <c r="B165" s="274"/>
      <c r="C165" s="274"/>
      <c r="D165" s="274"/>
      <c r="E165" s="274"/>
      <c r="F165" s="274"/>
      <c r="G165" s="274"/>
      <c r="H165" s="446"/>
    </row>
    <row r="166" spans="1:8" x14ac:dyDescent="0.2">
      <c r="A166" s="274"/>
      <c r="B166" s="274"/>
      <c r="C166" s="274"/>
      <c r="D166" s="274"/>
      <c r="E166" s="274"/>
      <c r="F166" s="274"/>
      <c r="G166" s="274"/>
      <c r="H166" s="446"/>
    </row>
    <row r="167" spans="1:8" x14ac:dyDescent="0.2">
      <c r="A167" s="274"/>
      <c r="B167" s="274"/>
      <c r="C167" s="274"/>
      <c r="D167" s="274"/>
      <c r="E167" s="274"/>
      <c r="F167" s="274"/>
      <c r="G167" s="274"/>
      <c r="H167" s="446"/>
    </row>
    <row r="168" spans="1:8" x14ac:dyDescent="0.2">
      <c r="A168" s="274"/>
      <c r="B168" s="274"/>
      <c r="C168" s="274"/>
      <c r="D168" s="274"/>
      <c r="E168" s="274"/>
      <c r="F168" s="274"/>
      <c r="G168" s="274"/>
      <c r="H168" s="446"/>
    </row>
    <row r="169" spans="1:8" x14ac:dyDescent="0.2">
      <c r="A169" s="274"/>
      <c r="B169" s="274"/>
      <c r="C169" s="274"/>
      <c r="D169" s="274"/>
      <c r="E169" s="274"/>
      <c r="F169" s="274"/>
      <c r="G169" s="274"/>
      <c r="H169" s="446"/>
    </row>
    <row r="170" spans="1:8" x14ac:dyDescent="0.2">
      <c r="A170" s="274"/>
      <c r="B170" s="274"/>
      <c r="C170" s="274"/>
      <c r="D170" s="274"/>
      <c r="E170" s="274"/>
      <c r="F170" s="274"/>
      <c r="G170" s="274"/>
      <c r="H170" s="446"/>
    </row>
    <row r="171" spans="1:8" x14ac:dyDescent="0.2">
      <c r="A171" s="274"/>
      <c r="B171" s="274"/>
      <c r="C171" s="274"/>
      <c r="D171" s="274"/>
      <c r="E171" s="274"/>
      <c r="F171" s="274"/>
      <c r="G171" s="274"/>
      <c r="H171" s="446"/>
    </row>
    <row r="172" spans="1:8" x14ac:dyDescent="0.2">
      <c r="A172" s="274"/>
      <c r="B172" s="274"/>
      <c r="C172" s="274"/>
      <c r="D172" s="274"/>
      <c r="E172" s="274"/>
      <c r="F172" s="274"/>
      <c r="G172" s="274"/>
      <c r="H172" s="446"/>
    </row>
    <row r="173" spans="1:8" x14ac:dyDescent="0.2">
      <c r="A173" s="274"/>
      <c r="B173" s="274"/>
      <c r="C173" s="274"/>
      <c r="D173" s="274"/>
      <c r="E173" s="274"/>
      <c r="F173" s="274"/>
      <c r="G173" s="274"/>
      <c r="H173" s="446"/>
    </row>
    <row r="174" spans="1:8" x14ac:dyDescent="0.2">
      <c r="A174" s="274"/>
      <c r="B174" s="274"/>
      <c r="C174" s="274"/>
      <c r="D174" s="274"/>
      <c r="E174" s="274"/>
      <c r="F174" s="274"/>
      <c r="G174" s="274"/>
      <c r="H174" s="446"/>
    </row>
    <row r="175" spans="1:8" x14ac:dyDescent="0.2">
      <c r="A175" s="274"/>
      <c r="B175" s="274"/>
      <c r="C175" s="274"/>
      <c r="D175" s="274"/>
      <c r="E175" s="274"/>
      <c r="F175" s="274"/>
      <c r="G175" s="274"/>
      <c r="H175" s="446"/>
    </row>
    <row r="176" spans="1:8" x14ac:dyDescent="0.2">
      <c r="A176" s="274"/>
      <c r="B176" s="274"/>
      <c r="C176" s="274"/>
      <c r="D176" s="274"/>
      <c r="E176" s="274"/>
      <c r="F176" s="274"/>
      <c r="G176" s="274"/>
      <c r="H176" s="446"/>
    </row>
    <row r="177" spans="1:11" x14ac:dyDescent="0.2">
      <c r="A177" s="274"/>
      <c r="B177" s="274"/>
      <c r="C177" s="274"/>
      <c r="D177" s="274"/>
      <c r="E177" s="274"/>
      <c r="F177" s="274"/>
      <c r="G177" s="274"/>
      <c r="H177" s="446"/>
    </row>
    <row r="178" spans="1:11" x14ac:dyDescent="0.2">
      <c r="A178" s="274"/>
      <c r="B178" s="274"/>
      <c r="C178" s="274"/>
      <c r="D178" s="274"/>
      <c r="E178" s="274"/>
      <c r="F178" s="274"/>
      <c r="G178" s="274"/>
      <c r="H178" s="446"/>
    </row>
    <row r="179" spans="1:11" x14ac:dyDescent="0.2">
      <c r="A179" s="274"/>
      <c r="B179" s="274"/>
      <c r="C179" s="274"/>
      <c r="D179" s="274"/>
      <c r="E179" s="274"/>
      <c r="F179" s="274"/>
      <c r="G179" s="274"/>
      <c r="H179" s="446"/>
    </row>
    <row r="180" spans="1:11" x14ac:dyDescent="0.2">
      <c r="A180" s="274"/>
      <c r="B180" s="274"/>
      <c r="C180" s="274"/>
      <c r="D180" s="274"/>
      <c r="E180" s="274"/>
      <c r="F180" s="274"/>
      <c r="G180" s="274"/>
      <c r="H180" s="446"/>
    </row>
    <row r="181" spans="1:11" x14ac:dyDescent="0.2">
      <c r="A181" s="274"/>
      <c r="B181" s="274"/>
      <c r="C181" s="274"/>
      <c r="D181" s="274"/>
      <c r="E181" s="274"/>
      <c r="F181" s="274"/>
      <c r="G181" s="274"/>
      <c r="H181" s="446"/>
    </row>
    <row r="182" spans="1:11" x14ac:dyDescent="0.2">
      <c r="A182" s="274"/>
      <c r="B182" s="274"/>
      <c r="C182" s="274"/>
      <c r="D182" s="274"/>
      <c r="E182" s="274"/>
      <c r="F182" s="274"/>
      <c r="G182" s="274"/>
      <c r="H182" s="446"/>
    </row>
    <row r="183" spans="1:11" x14ac:dyDescent="0.2">
      <c r="A183" s="274"/>
      <c r="B183" s="274"/>
      <c r="C183" s="274"/>
      <c r="D183" s="274"/>
      <c r="E183" s="274"/>
      <c r="F183" s="274"/>
      <c r="G183" s="274"/>
      <c r="H183" s="446"/>
    </row>
    <row r="184" spans="1:11" x14ac:dyDescent="0.2">
      <c r="A184" s="274"/>
      <c r="B184" s="274"/>
      <c r="C184" s="274"/>
      <c r="D184" s="274"/>
      <c r="E184" s="274"/>
      <c r="F184" s="274"/>
      <c r="G184" s="274"/>
      <c r="H184" s="446"/>
    </row>
    <row r="185" spans="1:11" x14ac:dyDescent="0.2">
      <c r="A185" s="274"/>
      <c r="B185" s="274"/>
      <c r="C185" s="274"/>
      <c r="D185" s="274"/>
      <c r="E185" s="274"/>
      <c r="F185" s="274"/>
      <c r="G185" s="274"/>
      <c r="H185" s="446"/>
    </row>
    <row r="186" spans="1:11" x14ac:dyDescent="0.2">
      <c r="A186" s="274"/>
      <c r="B186" s="274"/>
      <c r="C186" s="274"/>
      <c r="D186" s="274"/>
      <c r="E186" s="274"/>
      <c r="F186" s="274"/>
      <c r="G186" s="274"/>
      <c r="H186" s="446"/>
    </row>
    <row r="187" spans="1:11" x14ac:dyDescent="0.2">
      <c r="A187" s="274"/>
      <c r="B187" s="274"/>
      <c r="C187" s="274"/>
      <c r="D187" s="274"/>
      <c r="E187" s="274"/>
      <c r="F187" s="274"/>
      <c r="G187" s="274"/>
      <c r="H187" s="447"/>
      <c r="I187" s="441"/>
      <c r="J187" s="441"/>
    </row>
    <row r="188" spans="1:11" x14ac:dyDescent="0.2">
      <c r="A188" s="274"/>
      <c r="B188" s="274"/>
      <c r="C188" s="274"/>
      <c r="D188" s="274"/>
      <c r="E188" s="274"/>
      <c r="F188" s="274"/>
      <c r="G188" s="274"/>
      <c r="H188" s="274"/>
      <c r="I188" s="274"/>
      <c r="J188" s="274"/>
      <c r="K188" s="446"/>
    </row>
    <row r="189" spans="1:11" x14ac:dyDescent="0.2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446"/>
    </row>
    <row r="190" spans="1:11" x14ac:dyDescent="0.2">
      <c r="A190" s="274"/>
      <c r="B190" s="274"/>
      <c r="C190" s="274"/>
      <c r="D190" s="274"/>
      <c r="E190" s="274"/>
      <c r="F190" s="274"/>
      <c r="G190" s="274"/>
      <c r="H190" s="274"/>
      <c r="I190" s="274"/>
      <c r="J190" s="274"/>
      <c r="K190" s="446"/>
    </row>
    <row r="191" spans="1:11" x14ac:dyDescent="0.2">
      <c r="A191" s="274"/>
      <c r="B191" s="274"/>
      <c r="C191" s="274"/>
      <c r="D191" s="274"/>
      <c r="E191" s="274"/>
      <c r="F191" s="274"/>
      <c r="G191" s="274"/>
      <c r="H191" s="274"/>
      <c r="I191" s="274"/>
      <c r="J191" s="274"/>
      <c r="K191" s="446"/>
    </row>
    <row r="192" spans="1:11" x14ac:dyDescent="0.2">
      <c r="A192" s="274"/>
      <c r="B192" s="274"/>
      <c r="C192" s="274"/>
      <c r="D192" s="274"/>
      <c r="E192" s="274"/>
      <c r="F192" s="274"/>
      <c r="G192" s="274"/>
      <c r="H192" s="274"/>
      <c r="I192" s="274"/>
      <c r="J192" s="274"/>
      <c r="K192" s="446"/>
    </row>
    <row r="193" spans="1:11" x14ac:dyDescent="0.2">
      <c r="A193" s="274"/>
      <c r="B193" s="274"/>
      <c r="C193" s="274"/>
      <c r="D193" s="274"/>
      <c r="E193" s="274"/>
      <c r="F193" s="274"/>
      <c r="G193" s="274"/>
      <c r="H193" s="274"/>
      <c r="I193" s="274"/>
      <c r="J193" s="274"/>
      <c r="K193" s="446"/>
    </row>
    <row r="194" spans="1:11" x14ac:dyDescent="0.2">
      <c r="A194" s="274"/>
      <c r="B194" s="274"/>
      <c r="C194" s="274"/>
      <c r="D194" s="274"/>
      <c r="E194" s="274"/>
      <c r="F194" s="274"/>
      <c r="G194" s="274"/>
      <c r="H194" s="274"/>
      <c r="I194" s="274"/>
      <c r="J194" s="274"/>
      <c r="K194" s="446"/>
    </row>
    <row r="195" spans="1:11" x14ac:dyDescent="0.2">
      <c r="A195" s="274"/>
      <c r="B195" s="274"/>
      <c r="C195" s="274"/>
      <c r="D195" s="274"/>
      <c r="E195" s="274"/>
      <c r="F195" s="274"/>
      <c r="G195" s="274"/>
      <c r="H195" s="274"/>
      <c r="I195" s="274"/>
      <c r="J195" s="274"/>
      <c r="K195" s="446"/>
    </row>
    <row r="196" spans="1:11" x14ac:dyDescent="0.2">
      <c r="A196" s="274"/>
      <c r="B196" s="274"/>
      <c r="C196" s="274"/>
      <c r="D196" s="274"/>
      <c r="E196" s="274"/>
      <c r="F196" s="274"/>
      <c r="G196" s="274"/>
      <c r="H196" s="274"/>
      <c r="I196" s="274"/>
      <c r="J196" s="274"/>
      <c r="K196" s="446"/>
    </row>
    <row r="197" spans="1:11" x14ac:dyDescent="0.2">
      <c r="A197" s="274"/>
      <c r="B197" s="274"/>
      <c r="C197" s="274"/>
      <c r="D197" s="274"/>
      <c r="E197" s="274"/>
      <c r="F197" s="274"/>
      <c r="G197" s="274"/>
      <c r="H197" s="274"/>
      <c r="I197" s="274"/>
      <c r="J197" s="274"/>
      <c r="K197" s="446"/>
    </row>
    <row r="198" spans="1:11" x14ac:dyDescent="0.2">
      <c r="A198" s="274"/>
      <c r="B198" s="274"/>
      <c r="C198" s="274"/>
      <c r="D198" s="274"/>
      <c r="E198" s="274"/>
      <c r="F198" s="274"/>
      <c r="G198" s="274"/>
      <c r="H198" s="274"/>
      <c r="I198" s="274"/>
      <c r="J198" s="274"/>
      <c r="K198" s="446"/>
    </row>
    <row r="199" spans="1:11" x14ac:dyDescent="0.2">
      <c r="A199" s="274"/>
      <c r="B199" s="274"/>
      <c r="C199" s="274"/>
      <c r="D199" s="274"/>
      <c r="E199" s="274"/>
      <c r="F199" s="274"/>
      <c r="G199" s="274"/>
      <c r="H199" s="274"/>
      <c r="I199" s="274"/>
      <c r="J199" s="274"/>
      <c r="K199" s="446"/>
    </row>
    <row r="200" spans="1:11" x14ac:dyDescent="0.2">
      <c r="A200" s="274"/>
      <c r="B200" s="274"/>
      <c r="C200" s="274"/>
      <c r="D200" s="274"/>
      <c r="E200" s="274"/>
      <c r="F200" s="274"/>
      <c r="G200" s="274"/>
      <c r="H200" s="274"/>
      <c r="I200" s="274"/>
      <c r="J200" s="274"/>
      <c r="K200" s="446"/>
    </row>
    <row r="201" spans="1:11" x14ac:dyDescent="0.2">
      <c r="A201" s="274"/>
      <c r="B201" s="274"/>
      <c r="C201" s="274"/>
      <c r="D201" s="274"/>
      <c r="E201" s="274"/>
      <c r="F201" s="274"/>
      <c r="G201" s="274"/>
      <c r="H201" s="274"/>
      <c r="I201" s="274"/>
      <c r="J201" s="274"/>
      <c r="K201" s="446"/>
    </row>
    <row r="202" spans="1:11" x14ac:dyDescent="0.2">
      <c r="A202" s="274"/>
      <c r="B202" s="274"/>
      <c r="C202" s="274"/>
      <c r="D202" s="274"/>
      <c r="E202" s="274"/>
      <c r="F202" s="274"/>
      <c r="G202" s="274"/>
      <c r="H202" s="274"/>
      <c r="I202" s="274"/>
      <c r="J202" s="274"/>
      <c r="K202" s="446"/>
    </row>
    <row r="203" spans="1:11" x14ac:dyDescent="0.2">
      <c r="A203" s="274"/>
      <c r="B203" s="274"/>
      <c r="C203" s="274"/>
      <c r="D203" s="274"/>
      <c r="E203" s="274"/>
      <c r="F203" s="274"/>
      <c r="G203" s="274"/>
      <c r="H203" s="274"/>
      <c r="I203" s="274"/>
      <c r="J203" s="274"/>
      <c r="K203" s="446"/>
    </row>
    <row r="204" spans="1:11" x14ac:dyDescent="0.2">
      <c r="A204" s="274"/>
      <c r="B204" s="274"/>
      <c r="C204" s="274"/>
      <c r="D204" s="274"/>
      <c r="E204" s="274"/>
      <c r="F204" s="274"/>
      <c r="G204" s="274"/>
      <c r="H204" s="274"/>
      <c r="I204" s="274"/>
      <c r="J204" s="274"/>
      <c r="K204" s="446"/>
    </row>
    <row r="205" spans="1:11" x14ac:dyDescent="0.2">
      <c r="A205" s="274"/>
      <c r="B205" s="274"/>
      <c r="C205" s="274"/>
      <c r="D205" s="274"/>
      <c r="E205" s="274"/>
      <c r="F205" s="274"/>
      <c r="G205" s="274"/>
      <c r="H205" s="274"/>
      <c r="I205" s="274"/>
      <c r="J205" s="274"/>
      <c r="K205" s="446"/>
    </row>
    <row r="206" spans="1:11" x14ac:dyDescent="0.2">
      <c r="A206" s="274"/>
      <c r="B206" s="274"/>
      <c r="C206" s="274"/>
      <c r="D206" s="274"/>
      <c r="E206" s="274"/>
      <c r="F206" s="274"/>
      <c r="G206" s="274"/>
      <c r="H206" s="274"/>
      <c r="I206" s="274"/>
      <c r="J206" s="274"/>
      <c r="K206" s="446"/>
    </row>
    <row r="207" spans="1:11" x14ac:dyDescent="0.2">
      <c r="A207" s="274"/>
      <c r="B207" s="274"/>
      <c r="C207" s="274"/>
      <c r="D207" s="274"/>
      <c r="E207" s="274"/>
      <c r="F207" s="274"/>
      <c r="G207" s="274"/>
      <c r="H207" s="274"/>
      <c r="I207" s="274"/>
      <c r="J207" s="274"/>
      <c r="K207" s="446"/>
    </row>
    <row r="208" spans="1:11" x14ac:dyDescent="0.2">
      <c r="A208" s="274"/>
      <c r="B208" s="274"/>
      <c r="C208" s="274"/>
      <c r="D208" s="274"/>
      <c r="E208" s="274"/>
      <c r="F208" s="274"/>
      <c r="G208" s="274"/>
      <c r="H208" s="274"/>
      <c r="I208" s="274"/>
      <c r="J208" s="274"/>
      <c r="K208" s="446"/>
    </row>
    <row r="209" spans="1:11" x14ac:dyDescent="0.2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  <c r="K209" s="446"/>
    </row>
    <row r="210" spans="1:11" x14ac:dyDescent="0.2">
      <c r="A210" s="274"/>
      <c r="B210" s="274"/>
      <c r="C210" s="274"/>
      <c r="D210" s="274"/>
      <c r="E210" s="274"/>
      <c r="F210" s="274"/>
      <c r="G210" s="274"/>
      <c r="H210" s="274"/>
      <c r="I210" s="274"/>
      <c r="J210" s="274"/>
      <c r="K210" s="446"/>
    </row>
    <row r="211" spans="1:11" x14ac:dyDescent="0.2">
      <c r="A211" s="274"/>
      <c r="B211" s="274"/>
      <c r="C211" s="274"/>
      <c r="D211" s="274"/>
      <c r="E211" s="274"/>
      <c r="F211" s="274"/>
      <c r="G211" s="274"/>
      <c r="H211" s="274"/>
      <c r="I211" s="274"/>
      <c r="J211" s="274"/>
      <c r="K211" s="446"/>
    </row>
    <row r="212" spans="1:11" x14ac:dyDescent="0.2">
      <c r="A212" s="274"/>
      <c r="B212" s="274"/>
      <c r="C212" s="274"/>
      <c r="D212" s="274"/>
      <c r="E212" s="274"/>
      <c r="F212" s="274"/>
      <c r="G212" s="274"/>
      <c r="H212" s="274"/>
      <c r="I212" s="274"/>
      <c r="J212" s="274"/>
      <c r="K212" s="446"/>
    </row>
    <row r="213" spans="1:11" x14ac:dyDescent="0.2">
      <c r="A213" s="274"/>
      <c r="B213" s="274"/>
      <c r="C213" s="274"/>
      <c r="D213" s="274"/>
      <c r="E213" s="274"/>
      <c r="F213" s="274"/>
      <c r="G213" s="274"/>
      <c r="H213" s="274"/>
      <c r="I213" s="274"/>
      <c r="J213" s="274"/>
      <c r="K213" s="446"/>
    </row>
    <row r="214" spans="1:11" x14ac:dyDescent="0.2">
      <c r="A214" s="274"/>
      <c r="B214" s="274"/>
      <c r="C214" s="274"/>
      <c r="D214" s="274"/>
      <c r="E214" s="274"/>
      <c r="F214" s="274"/>
      <c r="G214" s="274"/>
      <c r="H214" s="274"/>
      <c r="I214" s="274"/>
      <c r="J214" s="274"/>
      <c r="K214" s="446"/>
    </row>
    <row r="215" spans="1:11" x14ac:dyDescent="0.2">
      <c r="A215" s="274"/>
      <c r="B215" s="274"/>
      <c r="C215" s="274"/>
      <c r="D215" s="274"/>
      <c r="E215" s="274"/>
      <c r="F215" s="274"/>
      <c r="G215" s="274"/>
      <c r="H215" s="274"/>
      <c r="I215" s="274"/>
      <c r="J215" s="274"/>
      <c r="K215" s="446"/>
    </row>
    <row r="216" spans="1:11" x14ac:dyDescent="0.2">
      <c r="A216" s="274"/>
      <c r="B216" s="274"/>
      <c r="C216" s="274"/>
      <c r="D216" s="274"/>
      <c r="E216" s="274"/>
      <c r="F216" s="274"/>
      <c r="G216" s="274"/>
      <c r="H216" s="274"/>
      <c r="I216" s="274"/>
      <c r="J216" s="274"/>
      <c r="K216" s="446"/>
    </row>
    <row r="217" spans="1:11" x14ac:dyDescent="0.2">
      <c r="A217" s="274"/>
      <c r="B217" s="274"/>
      <c r="C217" s="274"/>
      <c r="D217" s="274"/>
      <c r="E217" s="274"/>
      <c r="F217" s="274"/>
      <c r="G217" s="274"/>
      <c r="H217" s="274"/>
      <c r="I217" s="274"/>
      <c r="J217" s="274"/>
      <c r="K217" s="446"/>
    </row>
    <row r="218" spans="1:11" x14ac:dyDescent="0.2">
      <c r="A218" s="274"/>
      <c r="B218" s="274"/>
      <c r="C218" s="274"/>
      <c r="D218" s="274"/>
      <c r="E218" s="274"/>
      <c r="F218" s="274"/>
      <c r="G218" s="274"/>
      <c r="H218" s="274"/>
      <c r="I218" s="274"/>
      <c r="J218" s="274"/>
      <c r="K218" s="446"/>
    </row>
    <row r="219" spans="1:11" x14ac:dyDescent="0.2">
      <c r="A219" s="274"/>
      <c r="B219" s="274"/>
      <c r="C219" s="274"/>
      <c r="D219" s="274"/>
      <c r="E219" s="274"/>
      <c r="F219" s="274"/>
      <c r="G219" s="274"/>
      <c r="H219" s="274"/>
      <c r="I219" s="274"/>
      <c r="J219" s="274"/>
      <c r="K219" s="446"/>
    </row>
    <row r="220" spans="1:11" x14ac:dyDescent="0.2">
      <c r="A220" s="274"/>
      <c r="B220" s="274"/>
      <c r="C220" s="274"/>
      <c r="D220" s="274"/>
      <c r="E220" s="274"/>
      <c r="F220" s="274"/>
      <c r="G220" s="274"/>
      <c r="H220" s="274"/>
      <c r="I220" s="274"/>
      <c r="J220" s="274"/>
      <c r="K220" s="446"/>
    </row>
    <row r="221" spans="1:11" x14ac:dyDescent="0.2">
      <c r="A221" s="274"/>
      <c r="B221" s="274"/>
      <c r="C221" s="274"/>
      <c r="D221" s="274"/>
      <c r="E221" s="274"/>
      <c r="F221" s="274"/>
      <c r="G221" s="274"/>
      <c r="H221" s="274"/>
      <c r="I221" s="274"/>
      <c r="J221" s="274"/>
      <c r="K221" s="446"/>
    </row>
    <row r="222" spans="1:11" x14ac:dyDescent="0.2">
      <c r="A222" s="274"/>
      <c r="B222" s="274"/>
      <c r="C222" s="274"/>
      <c r="D222" s="274"/>
      <c r="E222" s="274"/>
      <c r="F222" s="274"/>
      <c r="G222" s="274"/>
      <c r="H222" s="274"/>
      <c r="I222" s="274"/>
      <c r="J222" s="274"/>
      <c r="K222" s="446"/>
    </row>
    <row r="223" spans="1:11" x14ac:dyDescent="0.2">
      <c r="A223" s="274"/>
      <c r="B223" s="274"/>
      <c r="C223" s="274"/>
      <c r="D223" s="274"/>
      <c r="E223" s="274"/>
      <c r="F223" s="274"/>
      <c r="G223" s="274"/>
      <c r="H223" s="274"/>
      <c r="I223" s="274"/>
      <c r="J223" s="274"/>
      <c r="K223" s="446"/>
    </row>
    <row r="224" spans="1:11" x14ac:dyDescent="0.2">
      <c r="A224" s="274"/>
      <c r="B224" s="274"/>
      <c r="C224" s="274"/>
      <c r="D224" s="274"/>
      <c r="E224" s="274"/>
      <c r="F224" s="274"/>
      <c r="G224" s="274"/>
      <c r="H224" s="274"/>
      <c r="I224" s="274"/>
      <c r="J224" s="274"/>
      <c r="K224" s="446"/>
    </row>
    <row r="225" spans="1:11" x14ac:dyDescent="0.2">
      <c r="A225" s="274"/>
      <c r="B225" s="274"/>
      <c r="C225" s="274"/>
      <c r="D225" s="274"/>
      <c r="E225" s="274"/>
      <c r="F225" s="274"/>
      <c r="G225" s="274"/>
      <c r="H225" s="274"/>
      <c r="I225" s="274"/>
      <c r="J225" s="274"/>
      <c r="K225" s="446"/>
    </row>
    <row r="226" spans="1:11" x14ac:dyDescent="0.2">
      <c r="A226" s="274"/>
      <c r="B226" s="274"/>
      <c r="C226" s="274"/>
      <c r="D226" s="274"/>
      <c r="E226" s="274"/>
      <c r="F226" s="274"/>
      <c r="G226" s="274"/>
      <c r="H226" s="274"/>
      <c r="I226" s="274"/>
      <c r="J226" s="274"/>
      <c r="K226" s="446"/>
    </row>
    <row r="227" spans="1:11" x14ac:dyDescent="0.2">
      <c r="A227" s="274"/>
      <c r="B227" s="274"/>
      <c r="C227" s="274"/>
      <c r="D227" s="274"/>
      <c r="E227" s="274"/>
      <c r="F227" s="274"/>
      <c r="G227" s="274"/>
      <c r="H227" s="274"/>
      <c r="I227" s="274"/>
      <c r="J227" s="274"/>
      <c r="K227" s="446"/>
    </row>
    <row r="228" spans="1:11" x14ac:dyDescent="0.2">
      <c r="A228" s="274"/>
      <c r="B228" s="274"/>
      <c r="C228" s="274"/>
      <c r="D228" s="274"/>
      <c r="E228" s="274"/>
      <c r="F228" s="274"/>
      <c r="G228" s="274"/>
      <c r="H228" s="274"/>
      <c r="I228" s="274"/>
      <c r="J228" s="274"/>
      <c r="K228" s="446"/>
    </row>
    <row r="229" spans="1:11" x14ac:dyDescent="0.2">
      <c r="A229" s="274"/>
      <c r="B229" s="274"/>
      <c r="C229" s="274"/>
      <c r="D229" s="274"/>
      <c r="E229" s="274"/>
      <c r="F229" s="274"/>
      <c r="G229" s="274"/>
      <c r="H229" s="274"/>
      <c r="I229" s="274"/>
      <c r="J229" s="274"/>
      <c r="K229" s="446"/>
    </row>
    <row r="230" spans="1:11" x14ac:dyDescent="0.2">
      <c r="A230" s="274"/>
      <c r="B230" s="274"/>
      <c r="C230" s="274"/>
      <c r="D230" s="274"/>
      <c r="E230" s="274"/>
      <c r="F230" s="274"/>
      <c r="G230" s="274"/>
      <c r="H230" s="274"/>
      <c r="I230" s="274"/>
      <c r="J230" s="274"/>
      <c r="K230" s="446"/>
    </row>
    <row r="231" spans="1:11" x14ac:dyDescent="0.2">
      <c r="A231" s="274"/>
      <c r="B231" s="274"/>
      <c r="C231" s="274"/>
      <c r="D231" s="274"/>
      <c r="E231" s="274"/>
      <c r="F231" s="274"/>
      <c r="G231" s="274"/>
      <c r="H231" s="274"/>
      <c r="I231" s="274"/>
      <c r="J231" s="274"/>
      <c r="K231" s="446"/>
    </row>
    <row r="232" spans="1:11" x14ac:dyDescent="0.2">
      <c r="A232" s="274"/>
      <c r="B232" s="274"/>
      <c r="C232" s="274"/>
      <c r="D232" s="274"/>
      <c r="E232" s="274"/>
      <c r="F232" s="274"/>
      <c r="G232" s="274"/>
      <c r="H232" s="274"/>
      <c r="I232" s="274"/>
      <c r="J232" s="274"/>
      <c r="K232" s="446"/>
    </row>
    <row r="233" spans="1:11" x14ac:dyDescent="0.2">
      <c r="A233" s="274"/>
      <c r="B233" s="274"/>
      <c r="C233" s="274"/>
      <c r="D233" s="274"/>
      <c r="E233" s="274"/>
      <c r="F233" s="274"/>
      <c r="G233" s="274"/>
      <c r="H233" s="274"/>
      <c r="I233" s="274"/>
      <c r="J233" s="274"/>
      <c r="K233" s="446"/>
    </row>
    <row r="234" spans="1:11" x14ac:dyDescent="0.2">
      <c r="A234" s="274"/>
      <c r="B234" s="274"/>
      <c r="C234" s="274"/>
      <c r="D234" s="274"/>
      <c r="E234" s="274"/>
      <c r="F234" s="274"/>
      <c r="G234" s="274"/>
      <c r="H234" s="274"/>
      <c r="I234" s="274"/>
      <c r="J234" s="274"/>
      <c r="K234" s="446"/>
    </row>
    <row r="235" spans="1:11" x14ac:dyDescent="0.2">
      <c r="A235" s="274"/>
      <c r="B235" s="274"/>
      <c r="C235" s="274"/>
      <c r="D235" s="274"/>
      <c r="E235" s="274"/>
      <c r="F235" s="274"/>
      <c r="G235" s="274"/>
      <c r="H235" s="274"/>
      <c r="I235" s="274"/>
      <c r="J235" s="274"/>
      <c r="K235" s="446"/>
    </row>
    <row r="236" spans="1:11" x14ac:dyDescent="0.2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446"/>
    </row>
    <row r="237" spans="1:11" x14ac:dyDescent="0.2">
      <c r="A237" s="274"/>
      <c r="B237" s="274"/>
      <c r="C237" s="274"/>
      <c r="D237" s="274"/>
      <c r="E237" s="274"/>
      <c r="F237" s="274"/>
      <c r="G237" s="274"/>
      <c r="H237" s="274"/>
      <c r="I237" s="274"/>
      <c r="J237" s="274"/>
      <c r="K237" s="446"/>
    </row>
    <row r="238" spans="1:11" x14ac:dyDescent="0.2">
      <c r="A238" s="274"/>
      <c r="B238" s="274"/>
      <c r="C238" s="274"/>
      <c r="D238" s="274"/>
      <c r="E238" s="274"/>
      <c r="F238" s="274"/>
      <c r="G238" s="274"/>
      <c r="H238" s="274"/>
      <c r="I238" s="274"/>
      <c r="J238" s="274"/>
      <c r="K238" s="446"/>
    </row>
    <row r="239" spans="1:11" x14ac:dyDescent="0.2">
      <c r="A239" s="274"/>
      <c r="B239" s="274"/>
      <c r="C239" s="274"/>
      <c r="D239" s="274"/>
      <c r="E239" s="274"/>
      <c r="F239" s="274"/>
      <c r="G239" s="274"/>
      <c r="H239" s="274"/>
      <c r="I239" s="274"/>
      <c r="J239" s="274"/>
      <c r="K239" s="446"/>
    </row>
    <row r="240" spans="1:11" x14ac:dyDescent="0.2">
      <c r="A240" s="274"/>
      <c r="B240" s="274"/>
      <c r="C240" s="274"/>
      <c r="D240" s="274"/>
      <c r="E240" s="274"/>
      <c r="F240" s="274"/>
      <c r="G240" s="274"/>
      <c r="H240" s="274"/>
      <c r="I240" s="274"/>
      <c r="J240" s="274"/>
      <c r="K240" s="446"/>
    </row>
    <row r="241" spans="1:11" x14ac:dyDescent="0.2">
      <c r="A241" s="274"/>
      <c r="B241" s="274"/>
      <c r="C241" s="274"/>
      <c r="D241" s="274"/>
      <c r="E241" s="274"/>
      <c r="F241" s="274"/>
      <c r="G241" s="274"/>
      <c r="H241" s="274"/>
      <c r="I241" s="274"/>
      <c r="J241" s="274"/>
      <c r="K241" s="446"/>
    </row>
    <row r="242" spans="1:11" x14ac:dyDescent="0.2">
      <c r="A242" s="274"/>
      <c r="B242" s="274"/>
      <c r="C242" s="274"/>
      <c r="D242" s="274"/>
      <c r="E242" s="274"/>
      <c r="F242" s="274"/>
      <c r="G242" s="274"/>
      <c r="H242" s="274"/>
      <c r="I242" s="274"/>
      <c r="J242" s="274"/>
      <c r="K242" s="446"/>
    </row>
    <row r="243" spans="1:11" x14ac:dyDescent="0.2">
      <c r="A243" s="274"/>
      <c r="B243" s="274"/>
      <c r="C243" s="274"/>
      <c r="D243" s="274"/>
      <c r="E243" s="274"/>
      <c r="F243" s="274"/>
      <c r="G243" s="274"/>
      <c r="H243" s="274"/>
      <c r="I243" s="274"/>
      <c r="J243" s="274"/>
      <c r="K243" s="446"/>
    </row>
    <row r="244" spans="1:11" x14ac:dyDescent="0.2">
      <c r="A244" s="274"/>
      <c r="B244" s="274"/>
      <c r="C244" s="274"/>
      <c r="D244" s="274"/>
      <c r="E244" s="274"/>
      <c r="F244" s="274"/>
      <c r="G244" s="274"/>
      <c r="H244" s="274"/>
      <c r="I244" s="274"/>
      <c r="J244" s="274"/>
      <c r="K244" s="446"/>
    </row>
    <row r="245" spans="1:11" x14ac:dyDescent="0.2">
      <c r="A245" s="274"/>
      <c r="B245" s="274"/>
      <c r="C245" s="274"/>
      <c r="D245" s="274"/>
      <c r="E245" s="274"/>
      <c r="F245" s="274"/>
      <c r="G245" s="274"/>
      <c r="H245" s="274"/>
      <c r="I245" s="274"/>
      <c r="J245" s="274"/>
      <c r="K245" s="446"/>
    </row>
    <row r="246" spans="1:11" x14ac:dyDescent="0.2">
      <c r="A246" s="274"/>
      <c r="B246" s="274"/>
      <c r="C246" s="274"/>
      <c r="D246" s="274"/>
      <c r="E246" s="274"/>
      <c r="F246" s="274"/>
      <c r="G246" s="274"/>
      <c r="H246" s="274"/>
      <c r="I246" s="274"/>
      <c r="J246" s="274"/>
      <c r="K246" s="446"/>
    </row>
    <row r="247" spans="1:11" x14ac:dyDescent="0.2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446"/>
    </row>
    <row r="248" spans="1:11" x14ac:dyDescent="0.2">
      <c r="A248" s="274"/>
      <c r="B248" s="274"/>
      <c r="C248" s="274"/>
      <c r="D248" s="274"/>
      <c r="E248" s="274"/>
      <c r="F248" s="274"/>
      <c r="G248" s="274"/>
      <c r="H248" s="274"/>
      <c r="I248" s="274"/>
      <c r="J248" s="274"/>
      <c r="K248" s="446"/>
    </row>
    <row r="249" spans="1:11" x14ac:dyDescent="0.2">
      <c r="A249" s="274"/>
      <c r="B249" s="274"/>
      <c r="C249" s="274"/>
      <c r="D249" s="274"/>
      <c r="E249" s="274"/>
      <c r="F249" s="274"/>
      <c r="G249" s="274"/>
      <c r="H249" s="274"/>
      <c r="I249" s="274"/>
      <c r="J249" s="274"/>
      <c r="K249" s="446"/>
    </row>
    <row r="250" spans="1:11" x14ac:dyDescent="0.2">
      <c r="A250" s="274"/>
      <c r="B250" s="274"/>
      <c r="C250" s="274"/>
      <c r="D250" s="274"/>
      <c r="E250" s="274"/>
      <c r="F250" s="274"/>
      <c r="G250" s="274"/>
      <c r="H250" s="274"/>
      <c r="I250" s="274"/>
      <c r="J250" s="274"/>
      <c r="K250" s="446"/>
    </row>
    <row r="251" spans="1:11" x14ac:dyDescent="0.2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446"/>
    </row>
    <row r="252" spans="1:11" x14ac:dyDescent="0.2">
      <c r="A252" s="274"/>
      <c r="B252" s="274"/>
      <c r="C252" s="274"/>
      <c r="D252" s="274"/>
      <c r="E252" s="274"/>
      <c r="F252" s="274"/>
      <c r="G252" s="274"/>
      <c r="H252" s="274"/>
      <c r="I252" s="274"/>
      <c r="J252" s="274"/>
      <c r="K252" s="446"/>
    </row>
    <row r="253" spans="1:11" x14ac:dyDescent="0.2">
      <c r="A253" s="274"/>
      <c r="B253" s="274"/>
      <c r="C253" s="274"/>
      <c r="D253" s="274"/>
      <c r="E253" s="274"/>
      <c r="F253" s="274"/>
      <c r="G253" s="274"/>
      <c r="H253" s="274"/>
      <c r="I253" s="274"/>
      <c r="J253" s="274"/>
      <c r="K253" s="446"/>
    </row>
    <row r="254" spans="1:11" x14ac:dyDescent="0.2">
      <c r="A254" s="274"/>
      <c r="B254" s="274"/>
      <c r="C254" s="274"/>
      <c r="D254" s="274"/>
      <c r="E254" s="274"/>
      <c r="F254" s="274"/>
      <c r="G254" s="274"/>
      <c r="H254" s="274"/>
      <c r="I254" s="274"/>
      <c r="J254" s="274"/>
      <c r="K254" s="446"/>
    </row>
    <row r="255" spans="1:11" x14ac:dyDescent="0.2">
      <c r="A255" s="274"/>
      <c r="B255" s="274"/>
      <c r="C255" s="274"/>
      <c r="D255" s="274"/>
      <c r="E255" s="274"/>
      <c r="F255" s="274"/>
      <c r="G255" s="274"/>
      <c r="H255" s="274"/>
      <c r="I255" s="274"/>
      <c r="J255" s="274"/>
      <c r="K255" s="446"/>
    </row>
    <row r="256" spans="1:11" x14ac:dyDescent="0.2">
      <c r="A256" s="274"/>
      <c r="B256" s="274"/>
      <c r="C256" s="274"/>
      <c r="D256" s="274"/>
      <c r="E256" s="274"/>
      <c r="F256" s="274"/>
      <c r="G256" s="274"/>
      <c r="H256" s="274"/>
      <c r="I256" s="274"/>
      <c r="J256" s="274"/>
      <c r="K256" s="446"/>
    </row>
    <row r="257" spans="1:11" x14ac:dyDescent="0.2">
      <c r="A257" s="274"/>
      <c r="B257" s="274"/>
      <c r="C257" s="274"/>
      <c r="D257" s="274"/>
      <c r="E257" s="274"/>
      <c r="F257" s="274"/>
      <c r="G257" s="274"/>
      <c r="H257" s="274"/>
      <c r="I257" s="274"/>
      <c r="J257" s="274"/>
      <c r="K257" s="446"/>
    </row>
    <row r="258" spans="1:11" x14ac:dyDescent="0.2">
      <c r="A258" s="274"/>
      <c r="B258" s="274"/>
      <c r="C258" s="274"/>
      <c r="D258" s="274"/>
      <c r="E258" s="274"/>
      <c r="F258" s="274"/>
      <c r="G258" s="274"/>
      <c r="H258" s="274"/>
      <c r="I258" s="274"/>
      <c r="J258" s="274"/>
      <c r="K258" s="446"/>
    </row>
    <row r="259" spans="1:11" x14ac:dyDescent="0.2">
      <c r="A259" s="274"/>
      <c r="B259" s="274"/>
      <c r="C259" s="274"/>
      <c r="D259" s="274"/>
      <c r="E259" s="274"/>
      <c r="F259" s="274"/>
      <c r="G259" s="274"/>
      <c r="H259" s="274"/>
      <c r="I259" s="274"/>
      <c r="J259" s="274"/>
      <c r="K259" s="446"/>
    </row>
    <row r="260" spans="1:11" x14ac:dyDescent="0.2">
      <c r="A260" s="274"/>
      <c r="B260" s="274"/>
      <c r="C260" s="274"/>
      <c r="D260" s="274"/>
      <c r="E260" s="274"/>
      <c r="F260" s="274"/>
      <c r="G260" s="274"/>
      <c r="H260" s="274"/>
      <c r="I260" s="274"/>
      <c r="J260" s="274"/>
      <c r="K260" s="446"/>
    </row>
    <row r="261" spans="1:11" x14ac:dyDescent="0.2">
      <c r="A261" s="274"/>
      <c r="B261" s="274"/>
      <c r="C261" s="274"/>
      <c r="D261" s="274"/>
      <c r="E261" s="274"/>
      <c r="F261" s="274"/>
      <c r="G261" s="274"/>
      <c r="H261" s="274"/>
      <c r="I261" s="274"/>
      <c r="J261" s="274"/>
      <c r="K261" s="446"/>
    </row>
    <row r="262" spans="1:11" x14ac:dyDescent="0.2">
      <c r="A262" s="274"/>
      <c r="B262" s="274"/>
      <c r="C262" s="274"/>
      <c r="D262" s="274"/>
      <c r="E262" s="274"/>
      <c r="F262" s="274"/>
      <c r="G262" s="274"/>
      <c r="H262" s="274"/>
      <c r="I262" s="274"/>
      <c r="J262" s="274"/>
      <c r="K262" s="446"/>
    </row>
    <row r="263" spans="1:11" x14ac:dyDescent="0.2">
      <c r="A263" s="274"/>
      <c r="B263" s="274"/>
      <c r="C263" s="274"/>
      <c r="D263" s="274"/>
      <c r="E263" s="274"/>
      <c r="F263" s="274"/>
      <c r="G263" s="274"/>
      <c r="H263" s="274"/>
      <c r="I263" s="274"/>
      <c r="J263" s="274"/>
      <c r="K263" s="446"/>
    </row>
    <row r="264" spans="1:11" x14ac:dyDescent="0.2">
      <c r="A264" s="274"/>
      <c r="B264" s="274"/>
      <c r="C264" s="274"/>
      <c r="D264" s="274"/>
      <c r="E264" s="274"/>
      <c r="F264" s="274"/>
      <c r="G264" s="274"/>
      <c r="H264" s="274"/>
      <c r="I264" s="274"/>
      <c r="J264" s="274"/>
      <c r="K264" s="446"/>
    </row>
    <row r="265" spans="1:11" x14ac:dyDescent="0.2">
      <c r="A265" s="274"/>
      <c r="B265" s="274"/>
      <c r="C265" s="274"/>
      <c r="D265" s="274"/>
      <c r="E265" s="274"/>
      <c r="F265" s="274"/>
      <c r="G265" s="274"/>
      <c r="H265" s="274"/>
      <c r="I265" s="274"/>
      <c r="J265" s="274"/>
      <c r="K265" s="446"/>
    </row>
    <row r="266" spans="1:11" x14ac:dyDescent="0.2">
      <c r="A266" s="274"/>
      <c r="B266" s="274"/>
      <c r="C266" s="274"/>
      <c r="D266" s="274"/>
      <c r="E266" s="274"/>
      <c r="F266" s="274"/>
      <c r="G266" s="274"/>
      <c r="H266" s="274"/>
      <c r="I266" s="274"/>
      <c r="J266" s="274"/>
      <c r="K266" s="446"/>
    </row>
    <row r="267" spans="1:11" x14ac:dyDescent="0.2">
      <c r="A267" s="274"/>
      <c r="B267" s="274"/>
      <c r="C267" s="274"/>
      <c r="D267" s="274"/>
      <c r="E267" s="274"/>
      <c r="F267" s="274"/>
      <c r="G267" s="274"/>
      <c r="H267" s="274"/>
      <c r="I267" s="274"/>
      <c r="J267" s="274"/>
      <c r="K267" s="446"/>
    </row>
    <row r="268" spans="1:11" x14ac:dyDescent="0.2">
      <c r="A268" s="274"/>
      <c r="B268" s="274"/>
      <c r="C268" s="274"/>
      <c r="D268" s="274"/>
      <c r="E268" s="274"/>
      <c r="F268" s="274"/>
      <c r="G268" s="274"/>
      <c r="H268" s="274"/>
      <c r="I268" s="274"/>
      <c r="J268" s="274"/>
      <c r="K268" s="446"/>
    </row>
    <row r="269" spans="1:11" x14ac:dyDescent="0.2">
      <c r="A269" s="274"/>
      <c r="B269" s="274"/>
      <c r="C269" s="274"/>
      <c r="D269" s="274"/>
      <c r="E269" s="274"/>
      <c r="F269" s="274"/>
      <c r="G269" s="274"/>
      <c r="H269" s="274"/>
      <c r="I269" s="274"/>
      <c r="J269" s="274"/>
      <c r="K269" s="446"/>
    </row>
    <row r="270" spans="1:11" x14ac:dyDescent="0.2">
      <c r="A270" s="274"/>
      <c r="B270" s="274"/>
      <c r="C270" s="274"/>
      <c r="D270" s="274"/>
      <c r="E270" s="274"/>
      <c r="F270" s="274"/>
      <c r="G270" s="274"/>
      <c r="H270" s="274"/>
      <c r="I270" s="274"/>
      <c r="J270" s="274"/>
      <c r="K270" s="446"/>
    </row>
    <row r="271" spans="1:11" x14ac:dyDescent="0.2">
      <c r="A271" s="274"/>
      <c r="B271" s="274"/>
      <c r="C271" s="274"/>
      <c r="D271" s="274"/>
      <c r="E271" s="274"/>
      <c r="F271" s="274"/>
      <c r="G271" s="274"/>
      <c r="H271" s="274"/>
      <c r="I271" s="274"/>
      <c r="J271" s="274"/>
      <c r="K271" s="446"/>
    </row>
    <row r="272" spans="1:11" x14ac:dyDescent="0.2">
      <c r="A272" s="274"/>
      <c r="B272" s="274"/>
      <c r="C272" s="274"/>
      <c r="D272" s="274"/>
      <c r="E272" s="274"/>
      <c r="F272" s="274"/>
      <c r="G272" s="274"/>
      <c r="H272" s="274"/>
      <c r="I272" s="274"/>
      <c r="J272" s="274"/>
      <c r="K272" s="446"/>
    </row>
    <row r="273" spans="1:11" x14ac:dyDescent="0.2">
      <c r="A273" s="274"/>
      <c r="B273" s="274"/>
      <c r="C273" s="274"/>
      <c r="D273" s="274"/>
      <c r="E273" s="274"/>
      <c r="F273" s="274"/>
      <c r="G273" s="274"/>
      <c r="H273" s="274"/>
      <c r="I273" s="274"/>
      <c r="J273" s="274"/>
      <c r="K273" s="446"/>
    </row>
    <row r="274" spans="1:11" x14ac:dyDescent="0.2">
      <c r="A274" s="274"/>
      <c r="B274" s="274"/>
      <c r="C274" s="274"/>
      <c r="D274" s="274"/>
      <c r="E274" s="274"/>
      <c r="F274" s="274"/>
      <c r="G274" s="274"/>
      <c r="H274" s="274"/>
      <c r="I274" s="274"/>
      <c r="J274" s="274"/>
      <c r="K274" s="446"/>
    </row>
    <row r="275" spans="1:11" x14ac:dyDescent="0.2">
      <c r="A275" s="274"/>
      <c r="B275" s="274"/>
      <c r="C275" s="274"/>
      <c r="D275" s="274"/>
      <c r="E275" s="274"/>
      <c r="F275" s="274"/>
      <c r="G275" s="274"/>
      <c r="H275" s="274"/>
      <c r="I275" s="274"/>
      <c r="J275" s="274"/>
      <c r="K275" s="446"/>
    </row>
    <row r="276" spans="1:11" x14ac:dyDescent="0.2">
      <c r="A276" s="274"/>
      <c r="B276" s="274"/>
      <c r="C276" s="274"/>
      <c r="D276" s="274"/>
      <c r="E276" s="274"/>
      <c r="F276" s="274"/>
      <c r="G276" s="274"/>
      <c r="H276" s="274"/>
      <c r="I276" s="274"/>
      <c r="J276" s="274"/>
      <c r="K276" s="446"/>
    </row>
    <row r="277" spans="1:11" x14ac:dyDescent="0.2">
      <c r="A277" s="274"/>
      <c r="B277" s="274"/>
      <c r="C277" s="274"/>
      <c r="D277" s="274"/>
      <c r="E277" s="274"/>
      <c r="F277" s="274"/>
      <c r="G277" s="274"/>
      <c r="H277" s="274"/>
      <c r="I277" s="274"/>
      <c r="J277" s="274"/>
      <c r="K277" s="446"/>
    </row>
    <row r="278" spans="1:11" x14ac:dyDescent="0.2">
      <c r="A278" s="274"/>
      <c r="B278" s="274"/>
      <c r="C278" s="274"/>
      <c r="D278" s="274"/>
      <c r="E278" s="274"/>
      <c r="F278" s="274"/>
      <c r="G278" s="274"/>
      <c r="H278" s="274"/>
      <c r="I278" s="274"/>
      <c r="J278" s="274"/>
      <c r="K278" s="446"/>
    </row>
    <row r="279" spans="1:11" x14ac:dyDescent="0.2">
      <c r="A279" s="274"/>
      <c r="B279" s="274"/>
      <c r="C279" s="274"/>
      <c r="D279" s="274"/>
      <c r="E279" s="274"/>
      <c r="F279" s="274"/>
      <c r="G279" s="274"/>
      <c r="H279" s="274"/>
      <c r="I279" s="274"/>
      <c r="J279" s="274"/>
      <c r="K279" s="446"/>
    </row>
    <row r="280" spans="1:11" x14ac:dyDescent="0.2">
      <c r="A280" s="274"/>
      <c r="B280" s="274"/>
      <c r="C280" s="274"/>
      <c r="D280" s="274"/>
      <c r="E280" s="274"/>
      <c r="F280" s="274"/>
      <c r="G280" s="274"/>
      <c r="H280" s="274"/>
      <c r="I280" s="274"/>
      <c r="J280" s="274"/>
      <c r="K280" s="446"/>
    </row>
    <row r="281" spans="1:11" x14ac:dyDescent="0.2">
      <c r="A281" s="274"/>
      <c r="B281" s="274"/>
      <c r="C281" s="274"/>
      <c r="D281" s="274"/>
      <c r="E281" s="274"/>
      <c r="F281" s="274"/>
      <c r="G281" s="274"/>
      <c r="H281" s="274"/>
      <c r="I281" s="274"/>
      <c r="J281" s="274"/>
      <c r="K281" s="446"/>
    </row>
    <row r="282" spans="1:11" x14ac:dyDescent="0.2">
      <c r="A282" s="274"/>
      <c r="B282" s="274"/>
      <c r="C282" s="274"/>
      <c r="D282" s="274"/>
      <c r="E282" s="274"/>
      <c r="F282" s="274"/>
      <c r="G282" s="274"/>
      <c r="H282" s="274"/>
      <c r="I282" s="274"/>
      <c r="J282" s="274"/>
      <c r="K282" s="446"/>
    </row>
    <row r="283" spans="1:11" x14ac:dyDescent="0.2">
      <c r="A283" s="274"/>
      <c r="B283" s="274"/>
      <c r="C283" s="274"/>
      <c r="D283" s="274"/>
      <c r="E283" s="274"/>
      <c r="F283" s="274"/>
      <c r="G283" s="274"/>
      <c r="H283" s="274"/>
      <c r="I283" s="274"/>
      <c r="J283" s="274"/>
      <c r="K283" s="446"/>
    </row>
    <row r="284" spans="1:11" x14ac:dyDescent="0.2">
      <c r="A284" s="274"/>
      <c r="B284" s="274"/>
      <c r="C284" s="274"/>
      <c r="D284" s="274"/>
      <c r="E284" s="274"/>
      <c r="F284" s="274"/>
      <c r="G284" s="274"/>
      <c r="H284" s="274"/>
      <c r="I284" s="274"/>
      <c r="J284" s="274"/>
      <c r="K284" s="446"/>
    </row>
    <row r="285" spans="1:11" x14ac:dyDescent="0.2">
      <c r="A285" s="274"/>
      <c r="B285" s="274"/>
      <c r="C285" s="274"/>
      <c r="D285" s="274"/>
      <c r="E285" s="274"/>
      <c r="F285" s="274"/>
      <c r="G285" s="274"/>
      <c r="H285" s="274"/>
      <c r="I285" s="274"/>
      <c r="J285" s="274"/>
      <c r="K285" s="446"/>
    </row>
    <row r="286" spans="1:11" x14ac:dyDescent="0.2">
      <c r="A286" s="274"/>
      <c r="B286" s="274"/>
      <c r="C286" s="274"/>
      <c r="D286" s="274"/>
      <c r="E286" s="274"/>
      <c r="F286" s="274"/>
      <c r="G286" s="274"/>
      <c r="H286" s="274"/>
      <c r="I286" s="274"/>
      <c r="J286" s="274"/>
      <c r="K286" s="446"/>
    </row>
    <row r="287" spans="1:11" x14ac:dyDescent="0.2">
      <c r="A287" s="274"/>
      <c r="B287" s="274"/>
      <c r="C287" s="274"/>
      <c r="D287" s="274"/>
      <c r="E287" s="274"/>
      <c r="F287" s="274"/>
      <c r="G287" s="274"/>
      <c r="H287" s="274"/>
      <c r="I287" s="274"/>
      <c r="J287" s="274"/>
      <c r="K287" s="446"/>
    </row>
    <row r="288" spans="1:11" x14ac:dyDescent="0.2">
      <c r="A288" s="274"/>
      <c r="B288" s="274"/>
      <c r="C288" s="274"/>
      <c r="D288" s="274"/>
      <c r="E288" s="274"/>
      <c r="F288" s="274"/>
      <c r="G288" s="274"/>
      <c r="H288" s="274"/>
      <c r="I288" s="274"/>
      <c r="J288" s="274"/>
      <c r="K288" s="446"/>
    </row>
    <row r="289" spans="1:11" x14ac:dyDescent="0.2">
      <c r="A289" s="274"/>
      <c r="B289" s="274"/>
      <c r="C289" s="274"/>
      <c r="D289" s="274"/>
      <c r="E289" s="274"/>
      <c r="F289" s="274"/>
      <c r="G289" s="274"/>
      <c r="H289" s="274"/>
      <c r="I289" s="274"/>
      <c r="J289" s="274"/>
      <c r="K289" s="446"/>
    </row>
    <row r="290" spans="1:11" x14ac:dyDescent="0.2">
      <c r="A290" s="274"/>
      <c r="B290" s="274"/>
      <c r="C290" s="274"/>
      <c r="D290" s="274"/>
      <c r="E290" s="274"/>
      <c r="F290" s="274"/>
      <c r="G290" s="274"/>
      <c r="H290" s="274"/>
      <c r="I290" s="274"/>
      <c r="J290" s="274"/>
      <c r="K290" s="446"/>
    </row>
    <row r="291" spans="1:11" x14ac:dyDescent="0.2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  <c r="K291" s="446"/>
    </row>
    <row r="292" spans="1:11" x14ac:dyDescent="0.2">
      <c r="A292" s="274"/>
      <c r="B292" s="274"/>
      <c r="C292" s="274"/>
      <c r="D292" s="274"/>
      <c r="E292" s="274"/>
      <c r="F292" s="274"/>
      <c r="G292" s="274"/>
      <c r="H292" s="274"/>
      <c r="I292" s="274"/>
      <c r="J292" s="274"/>
      <c r="K292" s="446"/>
    </row>
    <row r="293" spans="1:11" x14ac:dyDescent="0.2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  <c r="K293" s="446"/>
    </row>
    <row r="294" spans="1:11" x14ac:dyDescent="0.2">
      <c r="A294" s="274"/>
      <c r="B294" s="274"/>
      <c r="C294" s="274"/>
      <c r="D294" s="274"/>
      <c r="E294" s="274"/>
      <c r="F294" s="274"/>
      <c r="G294" s="274"/>
      <c r="H294" s="274"/>
      <c r="I294" s="274"/>
      <c r="J294" s="274"/>
      <c r="K294" s="446"/>
    </row>
    <row r="295" spans="1:11" x14ac:dyDescent="0.2">
      <c r="A295" s="274"/>
      <c r="B295" s="274"/>
      <c r="C295" s="274"/>
      <c r="D295" s="274"/>
      <c r="E295" s="274"/>
      <c r="F295" s="274"/>
      <c r="G295" s="274"/>
      <c r="H295" s="274"/>
      <c r="I295" s="274"/>
      <c r="J295" s="274"/>
      <c r="K295" s="446"/>
    </row>
    <row r="296" spans="1:11" x14ac:dyDescent="0.2">
      <c r="A296" s="274"/>
      <c r="B296" s="274"/>
      <c r="C296" s="274"/>
      <c r="D296" s="274"/>
      <c r="E296" s="274"/>
      <c r="F296" s="274"/>
      <c r="G296" s="274"/>
      <c r="H296" s="274"/>
      <c r="I296" s="274"/>
      <c r="J296" s="274"/>
      <c r="K296" s="446"/>
    </row>
    <row r="297" spans="1:11" x14ac:dyDescent="0.2">
      <c r="A297" s="274"/>
      <c r="B297" s="274"/>
      <c r="C297" s="274"/>
      <c r="D297" s="274"/>
      <c r="E297" s="274"/>
      <c r="F297" s="274"/>
      <c r="G297" s="274"/>
      <c r="H297" s="274"/>
      <c r="I297" s="274"/>
      <c r="J297" s="274"/>
      <c r="K297" s="446"/>
    </row>
    <row r="298" spans="1:11" x14ac:dyDescent="0.2">
      <c r="A298" s="274"/>
      <c r="B298" s="274"/>
      <c r="C298" s="274"/>
      <c r="D298" s="274"/>
      <c r="E298" s="274"/>
      <c r="F298" s="274"/>
      <c r="G298" s="274"/>
      <c r="H298" s="274"/>
      <c r="I298" s="274"/>
      <c r="J298" s="274"/>
      <c r="K298" s="446"/>
    </row>
    <row r="299" spans="1:11" x14ac:dyDescent="0.2">
      <c r="A299" s="274"/>
      <c r="B299" s="274"/>
      <c r="C299" s="274"/>
      <c r="D299" s="274"/>
      <c r="E299" s="274"/>
      <c r="F299" s="274"/>
      <c r="G299" s="274"/>
      <c r="H299" s="274"/>
      <c r="I299" s="274"/>
      <c r="J299" s="274"/>
      <c r="K299" s="446"/>
    </row>
    <row r="300" spans="1:11" x14ac:dyDescent="0.2">
      <c r="A300" s="274"/>
      <c r="B300" s="274"/>
      <c r="C300" s="274"/>
      <c r="D300" s="274"/>
      <c r="E300" s="274"/>
      <c r="F300" s="274"/>
      <c r="G300" s="274"/>
      <c r="H300" s="274"/>
      <c r="I300" s="274"/>
      <c r="J300" s="274"/>
      <c r="K300" s="446"/>
    </row>
    <row r="301" spans="1:11" x14ac:dyDescent="0.2">
      <c r="A301" s="274"/>
      <c r="B301" s="274"/>
      <c r="C301" s="274"/>
      <c r="D301" s="274"/>
      <c r="E301" s="274"/>
      <c r="F301" s="274"/>
      <c r="G301" s="274"/>
      <c r="H301" s="274"/>
      <c r="I301" s="274"/>
      <c r="J301" s="274"/>
      <c r="K301" s="446"/>
    </row>
    <row r="302" spans="1:11" x14ac:dyDescent="0.2">
      <c r="A302" s="274"/>
      <c r="B302" s="274"/>
      <c r="C302" s="274"/>
      <c r="D302" s="274"/>
      <c r="E302" s="274"/>
      <c r="F302" s="274"/>
      <c r="G302" s="274"/>
      <c r="H302" s="274"/>
      <c r="I302" s="274"/>
      <c r="J302" s="274"/>
      <c r="K302" s="446"/>
    </row>
    <row r="303" spans="1:11" x14ac:dyDescent="0.2">
      <c r="A303" s="274"/>
      <c r="B303" s="274"/>
      <c r="C303" s="274"/>
      <c r="D303" s="274"/>
      <c r="E303" s="274"/>
      <c r="F303" s="274"/>
      <c r="G303" s="274"/>
      <c r="H303" s="274"/>
      <c r="I303" s="274"/>
      <c r="J303" s="274"/>
      <c r="K303" s="446"/>
    </row>
    <row r="304" spans="1:11" x14ac:dyDescent="0.2">
      <c r="A304" s="274"/>
      <c r="B304" s="274"/>
      <c r="C304" s="274"/>
      <c r="D304" s="274"/>
      <c r="E304" s="274"/>
      <c r="F304" s="274"/>
      <c r="G304" s="274"/>
      <c r="H304" s="274"/>
      <c r="I304" s="274"/>
      <c r="J304" s="274"/>
      <c r="K304" s="446"/>
    </row>
    <row r="305" spans="1:11" x14ac:dyDescent="0.2">
      <c r="A305" s="274"/>
      <c r="B305" s="274"/>
      <c r="C305" s="274"/>
      <c r="D305" s="274"/>
      <c r="E305" s="274"/>
      <c r="F305" s="274"/>
      <c r="G305" s="274"/>
      <c r="H305" s="274"/>
      <c r="I305" s="274"/>
      <c r="J305" s="274"/>
      <c r="K305" s="446"/>
    </row>
    <row r="306" spans="1:11" x14ac:dyDescent="0.2">
      <c r="A306" s="274"/>
      <c r="B306" s="274"/>
      <c r="C306" s="274"/>
      <c r="D306" s="274"/>
      <c r="E306" s="274"/>
      <c r="F306" s="274"/>
      <c r="G306" s="274"/>
      <c r="H306" s="274"/>
      <c r="I306" s="274"/>
      <c r="J306" s="274"/>
      <c r="K306" s="446"/>
    </row>
    <row r="307" spans="1:11" x14ac:dyDescent="0.2">
      <c r="A307" s="274"/>
      <c r="B307" s="274"/>
      <c r="C307" s="274"/>
      <c r="D307" s="274"/>
      <c r="E307" s="274"/>
      <c r="F307" s="274"/>
      <c r="G307" s="274"/>
      <c r="H307" s="274"/>
      <c r="I307" s="274"/>
      <c r="J307" s="274"/>
      <c r="K307" s="446"/>
    </row>
    <row r="308" spans="1:11" x14ac:dyDescent="0.2">
      <c r="A308" s="274"/>
      <c r="B308" s="274"/>
      <c r="C308" s="274"/>
      <c r="D308" s="274"/>
      <c r="E308" s="274"/>
      <c r="F308" s="274"/>
      <c r="G308" s="274"/>
      <c r="H308" s="274"/>
      <c r="I308" s="274"/>
      <c r="J308" s="274"/>
      <c r="K308" s="446"/>
    </row>
    <row r="309" spans="1:11" x14ac:dyDescent="0.2">
      <c r="A309" s="274"/>
      <c r="B309" s="274"/>
      <c r="C309" s="274"/>
      <c r="D309" s="274"/>
      <c r="E309" s="274"/>
      <c r="F309" s="274"/>
      <c r="G309" s="274"/>
      <c r="H309" s="274"/>
      <c r="I309" s="274"/>
      <c r="J309" s="274"/>
      <c r="K309" s="446"/>
    </row>
    <row r="310" spans="1:11" x14ac:dyDescent="0.2">
      <c r="A310" s="274"/>
      <c r="B310" s="274"/>
      <c r="C310" s="274"/>
      <c r="D310" s="274"/>
      <c r="E310" s="274"/>
      <c r="F310" s="274"/>
      <c r="G310" s="274"/>
      <c r="H310" s="274"/>
      <c r="I310" s="274"/>
      <c r="J310" s="274"/>
      <c r="K310" s="446"/>
    </row>
    <row r="311" spans="1:11" x14ac:dyDescent="0.2">
      <c r="A311" s="274"/>
      <c r="B311" s="274"/>
      <c r="C311" s="274"/>
      <c r="D311" s="274"/>
      <c r="E311" s="274"/>
      <c r="F311" s="274"/>
      <c r="G311" s="274"/>
      <c r="H311" s="274"/>
      <c r="I311" s="274"/>
      <c r="J311" s="274"/>
      <c r="K311" s="446"/>
    </row>
    <row r="312" spans="1:11" x14ac:dyDescent="0.2">
      <c r="A312" s="274"/>
      <c r="B312" s="274"/>
      <c r="C312" s="274"/>
      <c r="D312" s="274"/>
      <c r="E312" s="274"/>
      <c r="F312" s="274"/>
      <c r="G312" s="274"/>
      <c r="H312" s="274"/>
      <c r="I312" s="274"/>
      <c r="J312" s="274"/>
      <c r="K312" s="446"/>
    </row>
    <row r="313" spans="1:11" x14ac:dyDescent="0.2">
      <c r="A313" s="274"/>
      <c r="B313" s="274"/>
      <c r="C313" s="274"/>
      <c r="D313" s="274"/>
      <c r="E313" s="274"/>
      <c r="F313" s="274"/>
      <c r="G313" s="274"/>
      <c r="H313" s="274"/>
      <c r="I313" s="274"/>
      <c r="J313" s="274"/>
      <c r="K313" s="446"/>
    </row>
    <row r="314" spans="1:11" x14ac:dyDescent="0.2">
      <c r="A314" s="274"/>
      <c r="B314" s="274"/>
      <c r="C314" s="274"/>
      <c r="D314" s="274"/>
      <c r="E314" s="274"/>
      <c r="F314" s="274"/>
      <c r="G314" s="274"/>
      <c r="H314" s="274"/>
      <c r="I314" s="274"/>
      <c r="J314" s="274"/>
      <c r="K314" s="446"/>
    </row>
    <row r="315" spans="1:11" x14ac:dyDescent="0.2">
      <c r="A315" s="274"/>
      <c r="B315" s="274"/>
      <c r="C315" s="274"/>
      <c r="D315" s="274"/>
      <c r="E315" s="274"/>
      <c r="F315" s="274"/>
      <c r="G315" s="274"/>
      <c r="H315" s="274"/>
      <c r="I315" s="274"/>
      <c r="J315" s="274"/>
      <c r="K315" s="446"/>
    </row>
    <row r="316" spans="1:11" x14ac:dyDescent="0.2">
      <c r="A316" s="274"/>
      <c r="B316" s="274"/>
      <c r="C316" s="274"/>
      <c r="D316" s="274"/>
      <c r="E316" s="274"/>
      <c r="F316" s="274"/>
      <c r="G316" s="274"/>
      <c r="H316" s="274"/>
      <c r="I316" s="274"/>
      <c r="J316" s="274"/>
      <c r="K316" s="446"/>
    </row>
    <row r="317" spans="1:11" x14ac:dyDescent="0.2">
      <c r="A317" s="274"/>
      <c r="B317" s="274"/>
      <c r="C317" s="274"/>
      <c r="D317" s="274"/>
      <c r="E317" s="274"/>
      <c r="F317" s="274"/>
      <c r="G317" s="274"/>
      <c r="H317" s="274"/>
      <c r="I317" s="274"/>
      <c r="J317" s="274"/>
      <c r="K317" s="446"/>
    </row>
    <row r="318" spans="1:11" x14ac:dyDescent="0.2">
      <c r="A318" s="274"/>
      <c r="B318" s="274"/>
      <c r="C318" s="274"/>
      <c r="D318" s="274"/>
      <c r="E318" s="274"/>
      <c r="F318" s="274"/>
      <c r="G318" s="274"/>
      <c r="H318" s="274"/>
      <c r="I318" s="274"/>
      <c r="J318" s="274"/>
      <c r="K318" s="446"/>
    </row>
    <row r="319" spans="1:11" x14ac:dyDescent="0.2">
      <c r="A319" s="274"/>
      <c r="B319" s="274"/>
      <c r="C319" s="274"/>
      <c r="D319" s="274"/>
      <c r="E319" s="274"/>
      <c r="F319" s="274"/>
      <c r="G319" s="274"/>
      <c r="H319" s="274"/>
      <c r="I319" s="274"/>
      <c r="J319" s="274"/>
      <c r="K319" s="446"/>
    </row>
    <row r="320" spans="1:11" x14ac:dyDescent="0.2">
      <c r="A320" s="274"/>
      <c r="B320" s="274"/>
      <c r="C320" s="274"/>
      <c r="D320" s="274"/>
      <c r="E320" s="274"/>
      <c r="F320" s="274"/>
      <c r="G320" s="274"/>
      <c r="H320" s="274"/>
      <c r="I320" s="274"/>
      <c r="J320" s="274"/>
      <c r="K320" s="446"/>
    </row>
    <row r="321" spans="1:11" x14ac:dyDescent="0.2">
      <c r="A321" s="274"/>
      <c r="B321" s="274"/>
      <c r="C321" s="274"/>
      <c r="D321" s="274"/>
      <c r="E321" s="274"/>
      <c r="F321" s="274"/>
      <c r="G321" s="274"/>
      <c r="H321" s="274"/>
      <c r="I321" s="274"/>
      <c r="J321" s="274"/>
      <c r="K321" s="446"/>
    </row>
    <row r="322" spans="1:11" x14ac:dyDescent="0.2">
      <c r="A322" s="274"/>
      <c r="B322" s="274"/>
      <c r="C322" s="274"/>
      <c r="D322" s="274"/>
      <c r="E322" s="274"/>
      <c r="F322" s="274"/>
      <c r="G322" s="274"/>
      <c r="H322" s="274"/>
      <c r="I322" s="274"/>
      <c r="J322" s="274"/>
      <c r="K322" s="446"/>
    </row>
    <row r="323" spans="1:11" x14ac:dyDescent="0.2">
      <c r="A323" s="274"/>
      <c r="B323" s="274"/>
      <c r="C323" s="274"/>
      <c r="D323" s="274"/>
      <c r="E323" s="274"/>
      <c r="F323" s="274"/>
      <c r="G323" s="274"/>
      <c r="H323" s="274"/>
      <c r="I323" s="274"/>
      <c r="J323" s="274"/>
      <c r="K323" s="446"/>
    </row>
    <row r="324" spans="1:11" x14ac:dyDescent="0.2">
      <c r="A324" s="274"/>
      <c r="B324" s="274"/>
      <c r="C324" s="274"/>
      <c r="D324" s="274"/>
      <c r="E324" s="274"/>
      <c r="F324" s="274"/>
      <c r="G324" s="274"/>
      <c r="H324" s="274"/>
      <c r="I324" s="274"/>
      <c r="J324" s="274"/>
      <c r="K324" s="446"/>
    </row>
    <row r="325" spans="1:11" x14ac:dyDescent="0.2">
      <c r="A325" s="274"/>
      <c r="B325" s="274"/>
      <c r="C325" s="274"/>
      <c r="D325" s="274"/>
      <c r="E325" s="274"/>
      <c r="F325" s="274"/>
      <c r="G325" s="274"/>
      <c r="H325" s="274"/>
      <c r="I325" s="274"/>
      <c r="J325" s="274"/>
      <c r="K325" s="446"/>
    </row>
    <row r="326" spans="1:11" x14ac:dyDescent="0.2">
      <c r="A326" s="274"/>
      <c r="B326" s="274"/>
      <c r="C326" s="274"/>
      <c r="D326" s="274"/>
      <c r="E326" s="274"/>
      <c r="F326" s="274"/>
      <c r="G326" s="274"/>
      <c r="H326" s="274"/>
      <c r="I326" s="274"/>
      <c r="J326" s="274"/>
      <c r="K326" s="446"/>
    </row>
    <row r="327" spans="1:11" x14ac:dyDescent="0.2">
      <c r="A327" s="274"/>
      <c r="B327" s="274"/>
      <c r="C327" s="274"/>
      <c r="D327" s="274"/>
      <c r="E327" s="274"/>
      <c r="F327" s="274"/>
      <c r="G327" s="274"/>
      <c r="H327" s="274"/>
      <c r="I327" s="274"/>
      <c r="J327" s="274"/>
      <c r="K327" s="446"/>
    </row>
    <row r="328" spans="1:11" x14ac:dyDescent="0.2">
      <c r="A328" s="274"/>
      <c r="B328" s="274"/>
      <c r="C328" s="274"/>
      <c r="D328" s="274"/>
      <c r="E328" s="274"/>
      <c r="F328" s="274"/>
      <c r="G328" s="274"/>
      <c r="H328" s="274"/>
      <c r="I328" s="274"/>
      <c r="J328" s="274"/>
      <c r="K328" s="446"/>
    </row>
    <row r="329" spans="1:11" x14ac:dyDescent="0.2">
      <c r="A329" s="274"/>
      <c r="B329" s="274"/>
      <c r="C329" s="274"/>
      <c r="D329" s="274"/>
      <c r="E329" s="274"/>
      <c r="F329" s="274"/>
      <c r="G329" s="274"/>
      <c r="H329" s="274"/>
      <c r="I329" s="274"/>
      <c r="J329" s="274"/>
      <c r="K329" s="446"/>
    </row>
    <row r="330" spans="1:11" x14ac:dyDescent="0.2">
      <c r="A330" s="274"/>
      <c r="B330" s="274"/>
      <c r="C330" s="274"/>
      <c r="D330" s="274"/>
      <c r="E330" s="274"/>
      <c r="F330" s="274"/>
      <c r="G330" s="274"/>
      <c r="H330" s="274"/>
      <c r="I330" s="274"/>
      <c r="J330" s="274"/>
      <c r="K330" s="446"/>
    </row>
    <row r="331" spans="1:11" x14ac:dyDescent="0.2">
      <c r="A331" s="274"/>
      <c r="B331" s="274"/>
      <c r="C331" s="274"/>
      <c r="D331" s="274"/>
      <c r="E331" s="274"/>
      <c r="F331" s="274"/>
      <c r="G331" s="274"/>
      <c r="H331" s="274"/>
      <c r="I331" s="274"/>
      <c r="J331" s="274"/>
      <c r="K331" s="446"/>
    </row>
    <row r="332" spans="1:11" x14ac:dyDescent="0.2">
      <c r="A332" s="274"/>
      <c r="B332" s="274"/>
      <c r="C332" s="274"/>
      <c r="D332" s="274"/>
      <c r="E332" s="274"/>
      <c r="F332" s="274"/>
      <c r="G332" s="274"/>
      <c r="H332" s="274"/>
      <c r="I332" s="274"/>
      <c r="J332" s="274"/>
      <c r="K332" s="446"/>
    </row>
    <row r="333" spans="1:11" x14ac:dyDescent="0.2">
      <c r="A333" s="274"/>
      <c r="B333" s="274"/>
      <c r="C333" s="274"/>
      <c r="D333" s="274"/>
      <c r="E333" s="274"/>
      <c r="F333" s="274"/>
      <c r="G333" s="274"/>
      <c r="H333" s="274"/>
      <c r="I333" s="274"/>
      <c r="J333" s="274"/>
      <c r="K333" s="446"/>
    </row>
    <row r="334" spans="1:11" x14ac:dyDescent="0.2">
      <c r="A334" s="274"/>
      <c r="B334" s="274"/>
      <c r="C334" s="274"/>
      <c r="D334" s="274"/>
      <c r="E334" s="274"/>
      <c r="F334" s="274"/>
      <c r="G334" s="274"/>
      <c r="H334" s="274"/>
      <c r="I334" s="274"/>
      <c r="J334" s="274"/>
      <c r="K334" s="446"/>
    </row>
    <row r="335" spans="1:11" x14ac:dyDescent="0.2">
      <c r="A335" s="274"/>
      <c r="B335" s="274"/>
      <c r="C335" s="274"/>
      <c r="D335" s="274"/>
      <c r="E335" s="274"/>
      <c r="F335" s="274"/>
      <c r="G335" s="274"/>
      <c r="H335" s="274"/>
      <c r="I335" s="274"/>
      <c r="J335" s="274"/>
      <c r="K335" s="446"/>
    </row>
    <row r="336" spans="1:11" x14ac:dyDescent="0.2">
      <c r="A336" s="274"/>
      <c r="B336" s="274"/>
      <c r="C336" s="274"/>
      <c r="D336" s="274"/>
      <c r="E336" s="274"/>
      <c r="F336" s="274"/>
      <c r="G336" s="274"/>
      <c r="H336" s="274"/>
      <c r="I336" s="274"/>
      <c r="J336" s="274"/>
      <c r="K336" s="446"/>
    </row>
    <row r="337" spans="1:11" x14ac:dyDescent="0.2">
      <c r="A337" s="274"/>
      <c r="B337" s="274"/>
      <c r="C337" s="274"/>
      <c r="D337" s="274"/>
      <c r="E337" s="274"/>
      <c r="F337" s="274"/>
      <c r="G337" s="274"/>
      <c r="H337" s="274"/>
      <c r="I337" s="274"/>
      <c r="J337" s="274"/>
      <c r="K337" s="446"/>
    </row>
    <row r="338" spans="1:11" x14ac:dyDescent="0.2">
      <c r="A338" s="274"/>
      <c r="B338" s="274"/>
      <c r="C338" s="274"/>
      <c r="D338" s="274"/>
      <c r="E338" s="274"/>
      <c r="F338" s="274"/>
      <c r="G338" s="274"/>
      <c r="H338" s="274"/>
      <c r="I338" s="274"/>
      <c r="J338" s="274"/>
      <c r="K338" s="446"/>
    </row>
    <row r="339" spans="1:11" x14ac:dyDescent="0.2">
      <c r="A339" s="274"/>
      <c r="B339" s="274"/>
      <c r="C339" s="274"/>
      <c r="D339" s="274"/>
      <c r="E339" s="274"/>
      <c r="F339" s="274"/>
      <c r="G339" s="274"/>
      <c r="H339" s="274"/>
      <c r="I339" s="274"/>
      <c r="J339" s="274"/>
      <c r="K339" s="446"/>
    </row>
    <row r="340" spans="1:11" x14ac:dyDescent="0.2">
      <c r="A340" s="274"/>
      <c r="B340" s="274"/>
      <c r="C340" s="274"/>
      <c r="D340" s="274"/>
      <c r="E340" s="274"/>
      <c r="F340" s="274"/>
      <c r="G340" s="274"/>
      <c r="H340" s="274"/>
      <c r="I340" s="274"/>
      <c r="J340" s="274"/>
      <c r="K340" s="446"/>
    </row>
    <row r="341" spans="1:11" x14ac:dyDescent="0.2">
      <c r="A341" s="274"/>
      <c r="B341" s="274"/>
      <c r="C341" s="274"/>
      <c r="D341" s="274"/>
      <c r="E341" s="274"/>
      <c r="F341" s="274"/>
      <c r="G341" s="274"/>
      <c r="H341" s="274"/>
      <c r="I341" s="274"/>
      <c r="J341" s="274"/>
      <c r="K341" s="446"/>
    </row>
    <row r="342" spans="1:11" x14ac:dyDescent="0.2">
      <c r="A342" s="274"/>
      <c r="B342" s="274"/>
      <c r="C342" s="274"/>
      <c r="D342" s="274"/>
      <c r="E342" s="274"/>
      <c r="F342" s="274"/>
      <c r="G342" s="274"/>
      <c r="H342" s="274"/>
      <c r="I342" s="274"/>
      <c r="J342" s="274"/>
      <c r="K342" s="446"/>
    </row>
    <row r="343" spans="1:11" x14ac:dyDescent="0.2">
      <c r="A343" s="274"/>
      <c r="B343" s="274"/>
      <c r="C343" s="274"/>
      <c r="D343" s="274"/>
      <c r="E343" s="274"/>
      <c r="F343" s="274"/>
      <c r="G343" s="274"/>
      <c r="H343" s="274"/>
      <c r="I343" s="274"/>
      <c r="J343" s="274"/>
      <c r="K343" s="446"/>
    </row>
    <row r="344" spans="1:11" x14ac:dyDescent="0.2">
      <c r="A344" s="274"/>
      <c r="B344" s="274"/>
      <c r="C344" s="274"/>
      <c r="D344" s="274"/>
      <c r="E344" s="274"/>
      <c r="F344" s="274"/>
      <c r="G344" s="274"/>
      <c r="H344" s="274"/>
      <c r="I344" s="274"/>
      <c r="J344" s="274"/>
      <c r="K344" s="446"/>
    </row>
    <row r="345" spans="1:11" x14ac:dyDescent="0.2">
      <c r="A345" s="274"/>
      <c r="B345" s="274"/>
      <c r="C345" s="274"/>
      <c r="D345" s="274"/>
      <c r="E345" s="274"/>
      <c r="F345" s="274"/>
      <c r="G345" s="274"/>
      <c r="H345" s="274"/>
      <c r="I345" s="274"/>
      <c r="J345" s="274"/>
      <c r="K345" s="446"/>
    </row>
    <row r="346" spans="1:11" x14ac:dyDescent="0.2">
      <c r="A346" s="274"/>
      <c r="B346" s="274"/>
      <c r="C346" s="274"/>
      <c r="D346" s="274"/>
      <c r="E346" s="274"/>
      <c r="F346" s="274"/>
      <c r="G346" s="274"/>
      <c r="H346" s="274"/>
      <c r="I346" s="274"/>
      <c r="J346" s="274"/>
      <c r="K346" s="446"/>
    </row>
    <row r="347" spans="1:11" x14ac:dyDescent="0.2">
      <c r="A347" s="274"/>
      <c r="B347" s="274"/>
      <c r="C347" s="274"/>
      <c r="D347" s="274"/>
      <c r="E347" s="274"/>
      <c r="F347" s="274"/>
      <c r="G347" s="274"/>
      <c r="H347" s="274"/>
      <c r="I347" s="274"/>
      <c r="J347" s="274"/>
      <c r="K347" s="446"/>
    </row>
    <row r="348" spans="1:11" x14ac:dyDescent="0.2">
      <c r="A348" s="274"/>
      <c r="B348" s="274"/>
      <c r="C348" s="274"/>
      <c r="D348" s="274"/>
      <c r="E348" s="274"/>
      <c r="F348" s="274"/>
      <c r="G348" s="274"/>
      <c r="H348" s="274"/>
      <c r="I348" s="274"/>
      <c r="J348" s="274"/>
      <c r="K348" s="446"/>
    </row>
    <row r="349" spans="1:11" x14ac:dyDescent="0.2">
      <c r="A349" s="274"/>
      <c r="B349" s="274"/>
      <c r="C349" s="274"/>
      <c r="D349" s="274"/>
      <c r="E349" s="274"/>
      <c r="F349" s="274"/>
      <c r="G349" s="274"/>
      <c r="H349" s="274"/>
      <c r="I349" s="274"/>
      <c r="J349" s="274"/>
      <c r="K349" s="446"/>
    </row>
    <row r="350" spans="1:11" x14ac:dyDescent="0.2">
      <c r="A350" s="274"/>
      <c r="B350" s="274"/>
      <c r="C350" s="274"/>
      <c r="D350" s="274"/>
      <c r="E350" s="274"/>
      <c r="F350" s="274"/>
      <c r="G350" s="274"/>
      <c r="H350" s="274"/>
      <c r="I350" s="274"/>
      <c r="J350" s="274"/>
      <c r="K350" s="446"/>
    </row>
    <row r="351" spans="1:11" x14ac:dyDescent="0.2">
      <c r="A351" s="274"/>
      <c r="B351" s="274"/>
      <c r="C351" s="274"/>
      <c r="D351" s="274"/>
      <c r="E351" s="274"/>
      <c r="F351" s="274"/>
      <c r="G351" s="274"/>
      <c r="H351" s="274"/>
      <c r="I351" s="274"/>
      <c r="J351" s="274"/>
      <c r="K351" s="446"/>
    </row>
    <row r="352" spans="1:11" x14ac:dyDescent="0.2">
      <c r="A352" s="274"/>
      <c r="B352" s="274"/>
      <c r="C352" s="274"/>
      <c r="D352" s="274"/>
      <c r="E352" s="274"/>
      <c r="F352" s="274"/>
      <c r="G352" s="274"/>
      <c r="H352" s="274"/>
      <c r="I352" s="274"/>
      <c r="J352" s="274"/>
      <c r="K352" s="446"/>
    </row>
    <row r="353" spans="1:11" x14ac:dyDescent="0.2">
      <c r="A353" s="274"/>
      <c r="B353" s="274"/>
      <c r="C353" s="274"/>
      <c r="D353" s="274"/>
      <c r="E353" s="274"/>
      <c r="F353" s="274"/>
      <c r="G353" s="274"/>
      <c r="H353" s="274"/>
      <c r="I353" s="274"/>
      <c r="J353" s="274"/>
      <c r="K353" s="446"/>
    </row>
    <row r="354" spans="1:11" x14ac:dyDescent="0.2">
      <c r="A354" s="274"/>
      <c r="B354" s="274"/>
      <c r="C354" s="274"/>
      <c r="D354" s="274"/>
      <c r="E354" s="274"/>
      <c r="F354" s="274"/>
      <c r="G354" s="274"/>
      <c r="H354" s="274"/>
      <c r="I354" s="274"/>
      <c r="J354" s="274"/>
      <c r="K354" s="446"/>
    </row>
    <row r="355" spans="1:11" x14ac:dyDescent="0.2">
      <c r="A355" s="274"/>
      <c r="B355" s="274"/>
      <c r="C355" s="274"/>
      <c r="D355" s="274"/>
      <c r="E355" s="274"/>
      <c r="F355" s="274"/>
      <c r="G355" s="274"/>
      <c r="H355" s="274"/>
      <c r="I355" s="274"/>
      <c r="J355" s="274"/>
      <c r="K355" s="446"/>
    </row>
    <row r="356" spans="1:11" x14ac:dyDescent="0.2">
      <c r="A356" s="274"/>
      <c r="B356" s="274"/>
      <c r="C356" s="274"/>
      <c r="D356" s="274"/>
      <c r="E356" s="274"/>
      <c r="F356" s="274"/>
      <c r="G356" s="274"/>
      <c r="H356" s="274"/>
      <c r="I356" s="274"/>
      <c r="J356" s="274"/>
      <c r="K356" s="446"/>
    </row>
    <row r="357" spans="1:11" x14ac:dyDescent="0.2">
      <c r="A357" s="274"/>
      <c r="B357" s="274"/>
      <c r="C357" s="274"/>
      <c r="D357" s="274"/>
      <c r="E357" s="274"/>
      <c r="F357" s="274"/>
      <c r="G357" s="274"/>
      <c r="H357" s="274"/>
      <c r="I357" s="274"/>
      <c r="J357" s="274"/>
      <c r="K357" s="446"/>
    </row>
    <row r="358" spans="1:11" x14ac:dyDescent="0.2">
      <c r="A358" s="274"/>
      <c r="B358" s="274"/>
      <c r="C358" s="274"/>
      <c r="D358" s="274"/>
      <c r="E358" s="274"/>
      <c r="F358" s="274"/>
      <c r="G358" s="274"/>
      <c r="H358" s="274"/>
      <c r="I358" s="274"/>
      <c r="J358" s="274"/>
      <c r="K358" s="446"/>
    </row>
    <row r="359" spans="1:11" x14ac:dyDescent="0.2">
      <c r="A359" s="274"/>
      <c r="B359" s="274"/>
      <c r="C359" s="274"/>
      <c r="D359" s="274"/>
      <c r="E359" s="274"/>
      <c r="F359" s="274"/>
      <c r="G359" s="274"/>
      <c r="H359" s="274"/>
      <c r="I359" s="274"/>
      <c r="J359" s="274"/>
      <c r="K359" s="446"/>
    </row>
    <row r="360" spans="1:11" x14ac:dyDescent="0.2">
      <c r="A360" s="274"/>
      <c r="B360" s="274"/>
      <c r="C360" s="274"/>
      <c r="D360" s="274"/>
      <c r="E360" s="274"/>
      <c r="F360" s="274"/>
      <c r="G360" s="274"/>
      <c r="H360" s="274"/>
      <c r="I360" s="274"/>
      <c r="J360" s="274"/>
      <c r="K360" s="446"/>
    </row>
    <row r="361" spans="1:11" x14ac:dyDescent="0.2">
      <c r="A361" s="274"/>
      <c r="B361" s="274"/>
      <c r="C361" s="274"/>
      <c r="D361" s="274"/>
      <c r="E361" s="274"/>
      <c r="F361" s="274"/>
      <c r="G361" s="274"/>
      <c r="H361" s="274"/>
      <c r="I361" s="274"/>
      <c r="J361" s="274"/>
      <c r="K361" s="446"/>
    </row>
    <row r="362" spans="1:11" x14ac:dyDescent="0.2">
      <c r="A362" s="274"/>
      <c r="B362" s="274"/>
      <c r="C362" s="274"/>
      <c r="D362" s="274"/>
      <c r="E362" s="274"/>
      <c r="F362" s="274"/>
      <c r="G362" s="274"/>
      <c r="H362" s="274"/>
      <c r="I362" s="274"/>
      <c r="J362" s="274"/>
      <c r="K362" s="446"/>
    </row>
    <row r="363" spans="1:11" x14ac:dyDescent="0.2">
      <c r="A363" s="274"/>
      <c r="B363" s="274"/>
      <c r="C363" s="274"/>
      <c r="D363" s="274"/>
      <c r="E363" s="274"/>
      <c r="F363" s="274"/>
      <c r="G363" s="274"/>
      <c r="H363" s="274"/>
      <c r="I363" s="274"/>
      <c r="J363" s="274"/>
      <c r="K363" s="446"/>
    </row>
    <row r="364" spans="1:11" x14ac:dyDescent="0.2">
      <c r="A364" s="274"/>
      <c r="B364" s="274"/>
      <c r="C364" s="274"/>
      <c r="D364" s="274"/>
      <c r="E364" s="274"/>
      <c r="F364" s="274"/>
      <c r="G364" s="274"/>
      <c r="H364" s="274"/>
      <c r="I364" s="274"/>
      <c r="J364" s="274"/>
      <c r="K364" s="446"/>
    </row>
    <row r="365" spans="1:11" x14ac:dyDescent="0.2">
      <c r="A365" s="274"/>
      <c r="B365" s="274"/>
      <c r="C365" s="274"/>
      <c r="D365" s="274"/>
      <c r="E365" s="274"/>
      <c r="F365" s="274"/>
      <c r="G365" s="274"/>
      <c r="H365" s="274"/>
      <c r="I365" s="274"/>
      <c r="J365" s="274"/>
      <c r="K365" s="446"/>
    </row>
    <row r="366" spans="1:11" x14ac:dyDescent="0.2">
      <c r="A366" s="274"/>
      <c r="B366" s="274"/>
      <c r="C366" s="274"/>
      <c r="D366" s="274"/>
      <c r="E366" s="274"/>
      <c r="F366" s="274"/>
      <c r="G366" s="274"/>
      <c r="H366" s="274"/>
      <c r="I366" s="274"/>
      <c r="J366" s="274"/>
      <c r="K366" s="446"/>
    </row>
    <row r="367" spans="1:11" x14ac:dyDescent="0.2">
      <c r="A367" s="274"/>
      <c r="B367" s="274"/>
      <c r="C367" s="274"/>
      <c r="D367" s="274"/>
      <c r="E367" s="274"/>
      <c r="F367" s="274"/>
      <c r="G367" s="274"/>
      <c r="H367" s="274"/>
      <c r="I367" s="274"/>
      <c r="J367" s="274"/>
      <c r="K367" s="446"/>
    </row>
    <row r="368" spans="1:11" x14ac:dyDescent="0.2">
      <c r="A368" s="274"/>
      <c r="B368" s="274"/>
      <c r="C368" s="274"/>
      <c r="D368" s="274"/>
      <c r="E368" s="274"/>
      <c r="F368" s="274"/>
      <c r="G368" s="274"/>
      <c r="H368" s="274"/>
      <c r="I368" s="274"/>
      <c r="J368" s="274"/>
      <c r="K368" s="446"/>
    </row>
    <row r="369" spans="1:11" x14ac:dyDescent="0.2">
      <c r="A369" s="274"/>
      <c r="B369" s="274"/>
      <c r="C369" s="274"/>
      <c r="D369" s="274"/>
      <c r="E369" s="274"/>
      <c r="F369" s="274"/>
      <c r="G369" s="274"/>
      <c r="H369" s="274"/>
      <c r="I369" s="274"/>
      <c r="J369" s="274"/>
      <c r="K369" s="446"/>
    </row>
    <row r="370" spans="1:11" x14ac:dyDescent="0.2">
      <c r="A370" s="274"/>
      <c r="B370" s="274"/>
      <c r="C370" s="274"/>
      <c r="D370" s="274"/>
      <c r="E370" s="274"/>
      <c r="F370" s="274"/>
      <c r="G370" s="274"/>
      <c r="H370" s="274"/>
      <c r="I370" s="274"/>
      <c r="J370" s="274"/>
      <c r="K370" s="446"/>
    </row>
    <row r="371" spans="1:11" x14ac:dyDescent="0.2">
      <c r="A371" s="274"/>
      <c r="B371" s="274"/>
      <c r="C371" s="274"/>
      <c r="D371" s="274"/>
      <c r="E371" s="274"/>
      <c r="F371" s="274"/>
      <c r="G371" s="274"/>
      <c r="H371" s="274"/>
      <c r="I371" s="274"/>
      <c r="J371" s="274"/>
      <c r="K371" s="446"/>
    </row>
    <row r="372" spans="1:11" x14ac:dyDescent="0.2">
      <c r="A372" s="274"/>
      <c r="B372" s="274"/>
      <c r="C372" s="274"/>
      <c r="D372" s="274"/>
      <c r="E372" s="274"/>
      <c r="F372" s="274"/>
      <c r="G372" s="274"/>
      <c r="H372" s="274"/>
      <c r="I372" s="274"/>
      <c r="J372" s="274"/>
      <c r="K372" s="446"/>
    </row>
    <row r="373" spans="1:11" x14ac:dyDescent="0.2">
      <c r="A373" s="274"/>
      <c r="B373" s="274"/>
      <c r="C373" s="274"/>
      <c r="D373" s="274"/>
      <c r="E373" s="274"/>
      <c r="F373" s="274"/>
      <c r="G373" s="274"/>
      <c r="H373" s="274"/>
      <c r="I373" s="274"/>
      <c r="J373" s="274"/>
      <c r="K373" s="446"/>
    </row>
    <row r="374" spans="1:11" x14ac:dyDescent="0.2">
      <c r="A374" s="274"/>
      <c r="B374" s="274"/>
      <c r="C374" s="274"/>
      <c r="D374" s="274"/>
      <c r="E374" s="274"/>
      <c r="F374" s="274"/>
      <c r="G374" s="274"/>
      <c r="H374" s="274"/>
      <c r="I374" s="274"/>
      <c r="J374" s="274"/>
      <c r="K374" s="446"/>
    </row>
    <row r="375" spans="1:11" x14ac:dyDescent="0.2">
      <c r="A375" s="274"/>
      <c r="B375" s="274"/>
      <c r="C375" s="274"/>
      <c r="D375" s="274"/>
      <c r="E375" s="274"/>
      <c r="F375" s="274"/>
      <c r="G375" s="274"/>
      <c r="H375" s="274"/>
      <c r="I375" s="274"/>
      <c r="J375" s="274"/>
      <c r="K375" s="446"/>
    </row>
    <row r="376" spans="1:11" x14ac:dyDescent="0.2">
      <c r="A376" s="274"/>
      <c r="B376" s="274"/>
      <c r="C376" s="274"/>
      <c r="D376" s="274"/>
      <c r="E376" s="274"/>
      <c r="F376" s="274"/>
      <c r="G376" s="274"/>
      <c r="H376" s="274"/>
      <c r="I376" s="274"/>
      <c r="J376" s="274"/>
      <c r="K376" s="446"/>
    </row>
    <row r="377" spans="1:11" x14ac:dyDescent="0.2">
      <c r="A377" s="274"/>
      <c r="B377" s="274"/>
      <c r="C377" s="274"/>
      <c r="D377" s="274"/>
      <c r="E377" s="274"/>
      <c r="F377" s="274"/>
      <c r="G377" s="274"/>
      <c r="H377" s="274"/>
      <c r="I377" s="274"/>
      <c r="J377" s="274"/>
      <c r="K377" s="446"/>
    </row>
    <row r="378" spans="1:11" x14ac:dyDescent="0.2">
      <c r="A378" s="274"/>
      <c r="B378" s="274"/>
      <c r="C378" s="274"/>
      <c r="D378" s="274"/>
      <c r="E378" s="274"/>
      <c r="F378" s="274"/>
      <c r="G378" s="274"/>
      <c r="H378" s="274"/>
      <c r="I378" s="274"/>
      <c r="J378" s="274"/>
      <c r="K378" s="446"/>
    </row>
    <row r="379" spans="1:11" x14ac:dyDescent="0.2">
      <c r="A379" s="274"/>
      <c r="B379" s="274"/>
      <c r="C379" s="274"/>
      <c r="D379" s="274"/>
      <c r="E379" s="274"/>
      <c r="F379" s="274"/>
      <c r="G379" s="274"/>
      <c r="H379" s="274"/>
      <c r="I379" s="274"/>
      <c r="J379" s="274"/>
      <c r="K379" s="446"/>
    </row>
    <row r="380" spans="1:11" x14ac:dyDescent="0.2">
      <c r="A380" s="274"/>
      <c r="B380" s="274"/>
      <c r="C380" s="274"/>
      <c r="D380" s="274"/>
      <c r="E380" s="274"/>
      <c r="F380" s="274"/>
      <c r="G380" s="274"/>
      <c r="H380" s="274"/>
      <c r="I380" s="274"/>
      <c r="J380" s="274"/>
      <c r="K380" s="446"/>
    </row>
    <row r="381" spans="1:11" x14ac:dyDescent="0.2">
      <c r="A381" s="274"/>
      <c r="B381" s="274"/>
      <c r="C381" s="274"/>
      <c r="D381" s="274"/>
      <c r="E381" s="274"/>
      <c r="F381" s="274"/>
      <c r="G381" s="274"/>
      <c r="H381" s="274"/>
      <c r="I381" s="274"/>
      <c r="J381" s="274"/>
      <c r="K381" s="446"/>
    </row>
    <row r="382" spans="1:11" x14ac:dyDescent="0.2">
      <c r="A382" s="274"/>
      <c r="B382" s="274"/>
      <c r="C382" s="274"/>
      <c r="D382" s="274"/>
      <c r="E382" s="274"/>
      <c r="F382" s="274"/>
      <c r="G382" s="274"/>
      <c r="H382" s="274"/>
      <c r="I382" s="274"/>
      <c r="J382" s="274"/>
      <c r="K382" s="446"/>
    </row>
    <row r="383" spans="1:11" x14ac:dyDescent="0.2">
      <c r="A383" s="274"/>
      <c r="B383" s="274"/>
      <c r="C383" s="274"/>
      <c r="D383" s="274"/>
      <c r="E383" s="274"/>
      <c r="F383" s="274"/>
      <c r="G383" s="274"/>
      <c r="H383" s="274"/>
      <c r="I383" s="274"/>
      <c r="J383" s="274"/>
      <c r="K383" s="446"/>
    </row>
    <row r="384" spans="1:11" x14ac:dyDescent="0.2">
      <c r="A384" s="274"/>
      <c r="B384" s="274"/>
      <c r="C384" s="274"/>
      <c r="D384" s="274"/>
      <c r="E384" s="274"/>
      <c r="F384" s="274"/>
      <c r="G384" s="274"/>
      <c r="H384" s="274"/>
      <c r="I384" s="274"/>
      <c r="J384" s="274"/>
      <c r="K384" s="446"/>
    </row>
    <row r="385" spans="1:11" x14ac:dyDescent="0.2">
      <c r="A385" s="274"/>
      <c r="B385" s="274"/>
      <c r="C385" s="274"/>
      <c r="D385" s="274"/>
      <c r="E385" s="274"/>
      <c r="F385" s="274"/>
      <c r="G385" s="274"/>
      <c r="H385" s="274"/>
      <c r="I385" s="274"/>
      <c r="J385" s="274"/>
      <c r="K385" s="446"/>
    </row>
    <row r="386" spans="1:11" x14ac:dyDescent="0.2">
      <c r="A386" s="274"/>
      <c r="B386" s="274"/>
      <c r="C386" s="274"/>
      <c r="D386" s="274"/>
      <c r="E386" s="274"/>
      <c r="F386" s="274"/>
      <c r="G386" s="274"/>
      <c r="H386" s="274"/>
      <c r="I386" s="274"/>
      <c r="J386" s="274"/>
      <c r="K386" s="446"/>
    </row>
    <row r="387" spans="1:11" x14ac:dyDescent="0.2">
      <c r="A387" s="274"/>
      <c r="B387" s="274"/>
      <c r="C387" s="274"/>
      <c r="D387" s="274"/>
      <c r="E387" s="274"/>
      <c r="F387" s="274"/>
      <c r="G387" s="274"/>
      <c r="H387" s="274"/>
      <c r="I387" s="274"/>
      <c r="J387" s="274"/>
      <c r="K387" s="446"/>
    </row>
    <row r="388" spans="1:11" x14ac:dyDescent="0.2">
      <c r="A388" s="274"/>
      <c r="B388" s="274"/>
      <c r="C388" s="274"/>
      <c r="D388" s="274"/>
      <c r="E388" s="274"/>
      <c r="F388" s="274"/>
      <c r="G388" s="274"/>
      <c r="H388" s="274"/>
      <c r="I388" s="274"/>
      <c r="J388" s="274"/>
      <c r="K388" s="446"/>
    </row>
    <row r="389" spans="1:11" x14ac:dyDescent="0.2">
      <c r="A389" s="274"/>
      <c r="B389" s="274"/>
      <c r="C389" s="274"/>
      <c r="D389" s="274"/>
      <c r="E389" s="274"/>
      <c r="F389" s="274"/>
      <c r="G389" s="274"/>
      <c r="H389" s="274"/>
      <c r="I389" s="274"/>
      <c r="J389" s="274"/>
      <c r="K389" s="446"/>
    </row>
    <row r="390" spans="1:11" x14ac:dyDescent="0.2">
      <c r="A390" s="274"/>
      <c r="B390" s="274"/>
      <c r="C390" s="274"/>
      <c r="D390" s="274"/>
      <c r="E390" s="274"/>
      <c r="F390" s="274"/>
      <c r="G390" s="274"/>
      <c r="H390" s="274"/>
      <c r="I390" s="274"/>
      <c r="J390" s="274"/>
      <c r="K390" s="446"/>
    </row>
    <row r="391" spans="1:11" x14ac:dyDescent="0.2">
      <c r="A391" s="274"/>
      <c r="B391" s="274"/>
      <c r="C391" s="274"/>
      <c r="D391" s="274"/>
      <c r="E391" s="274"/>
      <c r="F391" s="274"/>
      <c r="G391" s="274"/>
      <c r="H391" s="274"/>
      <c r="I391" s="274"/>
      <c r="J391" s="274"/>
      <c r="K391" s="446"/>
    </row>
    <row r="392" spans="1:11" x14ac:dyDescent="0.2">
      <c r="A392" s="274"/>
      <c r="B392" s="274"/>
      <c r="C392" s="274"/>
      <c r="D392" s="274"/>
      <c r="E392" s="274"/>
      <c r="F392" s="274"/>
      <c r="G392" s="274"/>
      <c r="H392" s="274"/>
      <c r="I392" s="274"/>
      <c r="J392" s="274"/>
      <c r="K392" s="446"/>
    </row>
    <row r="393" spans="1:11" x14ac:dyDescent="0.2">
      <c r="A393" s="274"/>
      <c r="B393" s="274"/>
      <c r="C393" s="274"/>
      <c r="D393" s="274"/>
      <c r="E393" s="274"/>
      <c r="F393" s="274"/>
      <c r="G393" s="274"/>
      <c r="H393" s="274"/>
      <c r="I393" s="274"/>
      <c r="J393" s="274"/>
      <c r="K393" s="446"/>
    </row>
    <row r="394" spans="1:11" x14ac:dyDescent="0.2">
      <c r="A394" s="274"/>
      <c r="B394" s="274"/>
      <c r="C394" s="274"/>
      <c r="D394" s="274"/>
      <c r="E394" s="274"/>
      <c r="F394" s="274"/>
      <c r="G394" s="274"/>
      <c r="H394" s="274"/>
      <c r="I394" s="274"/>
      <c r="J394" s="274"/>
      <c r="K394" s="446"/>
    </row>
    <row r="395" spans="1:11" x14ac:dyDescent="0.2">
      <c r="A395" s="274"/>
      <c r="B395" s="274"/>
      <c r="C395" s="274"/>
      <c r="D395" s="274"/>
      <c r="E395" s="274"/>
      <c r="F395" s="274"/>
      <c r="G395" s="274"/>
      <c r="H395" s="274"/>
      <c r="I395" s="274"/>
      <c r="J395" s="274"/>
      <c r="K395" s="446"/>
    </row>
    <row r="396" spans="1:11" x14ac:dyDescent="0.2">
      <c r="A396" s="274"/>
      <c r="B396" s="274"/>
      <c r="C396" s="274"/>
      <c r="D396" s="274"/>
      <c r="E396" s="274"/>
      <c r="F396" s="274"/>
      <c r="G396" s="274"/>
      <c r="H396" s="274"/>
      <c r="I396" s="274"/>
      <c r="J396" s="274"/>
      <c r="K396" s="446"/>
    </row>
    <row r="397" spans="1:11" x14ac:dyDescent="0.2">
      <c r="A397" s="274"/>
      <c r="B397" s="274"/>
      <c r="C397" s="274"/>
      <c r="D397" s="274"/>
      <c r="E397" s="274"/>
      <c r="F397" s="274"/>
      <c r="G397" s="274"/>
      <c r="H397" s="274"/>
      <c r="I397" s="274"/>
      <c r="J397" s="274"/>
      <c r="K397" s="446"/>
    </row>
    <row r="398" spans="1:11" x14ac:dyDescent="0.2">
      <c r="A398" s="274"/>
      <c r="B398" s="274"/>
      <c r="C398" s="274"/>
      <c r="D398" s="274"/>
      <c r="E398" s="274"/>
      <c r="F398" s="274"/>
      <c r="G398" s="274"/>
      <c r="H398" s="274"/>
      <c r="I398" s="274"/>
      <c r="J398" s="274"/>
      <c r="K398" s="446"/>
    </row>
    <row r="399" spans="1:11" x14ac:dyDescent="0.2">
      <c r="A399" s="274"/>
      <c r="B399" s="274"/>
      <c r="C399" s="274"/>
      <c r="D399" s="274"/>
      <c r="E399" s="274"/>
      <c r="F399" s="274"/>
      <c r="G399" s="274"/>
      <c r="H399" s="274"/>
      <c r="I399" s="274"/>
      <c r="J399" s="274"/>
      <c r="K399" s="446"/>
    </row>
    <row r="400" spans="1:11" x14ac:dyDescent="0.2">
      <c r="A400" s="274"/>
      <c r="B400" s="274"/>
      <c r="C400" s="274"/>
      <c r="D400" s="274"/>
      <c r="E400" s="274"/>
      <c r="F400" s="274"/>
      <c r="G400" s="274"/>
      <c r="H400" s="274"/>
      <c r="I400" s="274"/>
      <c r="J400" s="274"/>
      <c r="K400" s="446"/>
    </row>
    <row r="401" spans="1:11" x14ac:dyDescent="0.2">
      <c r="A401" s="274"/>
      <c r="B401" s="274"/>
      <c r="C401" s="274"/>
      <c r="D401" s="274"/>
      <c r="E401" s="274"/>
      <c r="F401" s="274"/>
      <c r="G401" s="274"/>
      <c r="H401" s="274"/>
      <c r="I401" s="274"/>
      <c r="J401" s="274"/>
      <c r="K401" s="446"/>
    </row>
    <row r="402" spans="1:11" x14ac:dyDescent="0.2">
      <c r="A402" s="274"/>
      <c r="B402" s="274"/>
      <c r="C402" s="274"/>
      <c r="D402" s="274"/>
      <c r="E402" s="274"/>
      <c r="F402" s="274"/>
      <c r="G402" s="274"/>
      <c r="H402" s="274"/>
      <c r="I402" s="274"/>
      <c r="J402" s="274"/>
      <c r="K402" s="446"/>
    </row>
    <row r="403" spans="1:11" x14ac:dyDescent="0.2">
      <c r="A403" s="274"/>
      <c r="B403" s="274"/>
      <c r="C403" s="274"/>
      <c r="D403" s="274"/>
      <c r="E403" s="274"/>
      <c r="F403" s="274"/>
      <c r="G403" s="274"/>
      <c r="H403" s="274"/>
      <c r="I403" s="274"/>
      <c r="J403" s="274"/>
      <c r="K403" s="446"/>
    </row>
    <row r="404" spans="1:11" x14ac:dyDescent="0.2">
      <c r="A404" s="274"/>
      <c r="B404" s="274"/>
      <c r="C404" s="274"/>
      <c r="D404" s="274"/>
      <c r="E404" s="274"/>
      <c r="F404" s="274"/>
      <c r="G404" s="274"/>
      <c r="H404" s="274"/>
      <c r="I404" s="274"/>
      <c r="J404" s="274"/>
      <c r="K404" s="446"/>
    </row>
    <row r="405" spans="1:11" x14ac:dyDescent="0.2">
      <c r="A405" s="274"/>
      <c r="B405" s="274"/>
      <c r="C405" s="274"/>
      <c r="D405" s="274"/>
      <c r="E405" s="274"/>
      <c r="F405" s="274"/>
      <c r="G405" s="274"/>
      <c r="H405" s="274"/>
      <c r="I405" s="274"/>
      <c r="J405" s="274"/>
      <c r="K405" s="446"/>
    </row>
    <row r="406" spans="1:11" x14ac:dyDescent="0.2">
      <c r="A406" s="274"/>
      <c r="B406" s="274"/>
      <c r="C406" s="274"/>
      <c r="D406" s="274"/>
      <c r="E406" s="274"/>
      <c r="F406" s="274"/>
      <c r="G406" s="274"/>
      <c r="H406" s="274"/>
      <c r="I406" s="274"/>
      <c r="J406" s="274"/>
      <c r="K406" s="446"/>
    </row>
    <row r="407" spans="1:11" x14ac:dyDescent="0.2">
      <c r="A407" s="274"/>
      <c r="B407" s="274"/>
      <c r="C407" s="274"/>
      <c r="D407" s="274"/>
      <c r="E407" s="274"/>
      <c r="F407" s="274"/>
      <c r="G407" s="274"/>
      <c r="H407" s="274"/>
      <c r="I407" s="274"/>
      <c r="J407" s="274"/>
      <c r="K407" s="446"/>
    </row>
    <row r="408" spans="1:11" x14ac:dyDescent="0.2">
      <c r="A408" s="274"/>
      <c r="B408" s="274"/>
      <c r="C408" s="274"/>
      <c r="D408" s="274"/>
      <c r="E408" s="274"/>
      <c r="F408" s="274"/>
      <c r="G408" s="274"/>
      <c r="H408" s="274"/>
      <c r="I408" s="274"/>
      <c r="J408" s="274"/>
      <c r="K408" s="446"/>
    </row>
    <row r="409" spans="1:11" x14ac:dyDescent="0.2">
      <c r="A409" s="274"/>
      <c r="B409" s="274"/>
      <c r="C409" s="274"/>
      <c r="D409" s="274"/>
      <c r="E409" s="274"/>
      <c r="F409" s="274"/>
      <c r="G409" s="274"/>
      <c r="H409" s="274"/>
      <c r="I409" s="274"/>
      <c r="J409" s="274"/>
      <c r="K409" s="446"/>
    </row>
    <row r="410" spans="1:11" x14ac:dyDescent="0.2">
      <c r="A410" s="274"/>
      <c r="B410" s="274"/>
      <c r="C410" s="274"/>
      <c r="D410" s="274"/>
      <c r="E410" s="274"/>
      <c r="F410" s="274"/>
      <c r="G410" s="274"/>
      <c r="H410" s="274"/>
      <c r="I410" s="274"/>
      <c r="J410" s="274"/>
      <c r="K410" s="446"/>
    </row>
    <row r="411" spans="1:11" x14ac:dyDescent="0.2">
      <c r="A411" s="274"/>
      <c r="B411" s="274"/>
      <c r="C411" s="274"/>
      <c r="D411" s="274"/>
      <c r="E411" s="274"/>
      <c r="F411" s="274"/>
      <c r="G411" s="274"/>
      <c r="H411" s="274"/>
      <c r="I411" s="274"/>
      <c r="J411" s="274"/>
      <c r="K411" s="446"/>
    </row>
    <row r="412" spans="1:11" x14ac:dyDescent="0.2">
      <c r="A412" s="274"/>
      <c r="B412" s="274"/>
      <c r="C412" s="274"/>
      <c r="D412" s="274"/>
      <c r="E412" s="274"/>
      <c r="F412" s="274"/>
      <c r="G412" s="274"/>
      <c r="H412" s="274"/>
      <c r="I412" s="274"/>
      <c r="J412" s="274"/>
      <c r="K412" s="446"/>
    </row>
    <row r="413" spans="1:11" x14ac:dyDescent="0.2">
      <c r="A413" s="274"/>
      <c r="B413" s="274"/>
      <c r="C413" s="274"/>
      <c r="D413" s="274"/>
      <c r="E413" s="274"/>
      <c r="F413" s="274"/>
      <c r="G413" s="274"/>
      <c r="H413" s="274"/>
      <c r="I413" s="274"/>
      <c r="J413" s="274"/>
      <c r="K413" s="446"/>
    </row>
    <row r="414" spans="1:11" x14ac:dyDescent="0.2">
      <c r="A414" s="274"/>
      <c r="B414" s="274"/>
      <c r="C414" s="274"/>
      <c r="D414" s="274"/>
      <c r="E414" s="274"/>
      <c r="F414" s="274"/>
      <c r="G414" s="274"/>
      <c r="H414" s="274"/>
      <c r="I414" s="274"/>
      <c r="J414" s="274"/>
      <c r="K414" s="446"/>
    </row>
    <row r="415" spans="1:11" x14ac:dyDescent="0.2">
      <c r="A415" s="274"/>
      <c r="B415" s="274"/>
      <c r="C415" s="274"/>
      <c r="D415" s="274"/>
      <c r="E415" s="274"/>
      <c r="F415" s="274"/>
      <c r="G415" s="274"/>
      <c r="H415" s="274"/>
      <c r="I415" s="274"/>
      <c r="J415" s="274"/>
      <c r="K415" s="446"/>
    </row>
    <row r="416" spans="1:11" x14ac:dyDescent="0.2">
      <c r="A416" s="274"/>
      <c r="B416" s="274"/>
      <c r="C416" s="274"/>
      <c r="D416" s="274"/>
      <c r="E416" s="274"/>
      <c r="F416" s="274"/>
      <c r="G416" s="274"/>
      <c r="H416" s="274"/>
      <c r="I416" s="274"/>
      <c r="J416" s="274"/>
      <c r="K416" s="446"/>
    </row>
    <row r="417" spans="1:11" x14ac:dyDescent="0.2">
      <c r="A417" s="274"/>
      <c r="B417" s="274"/>
      <c r="C417" s="274"/>
      <c r="D417" s="274"/>
      <c r="E417" s="274"/>
      <c r="F417" s="274"/>
      <c r="G417" s="274"/>
      <c r="H417" s="274"/>
      <c r="I417" s="274"/>
      <c r="J417" s="274"/>
      <c r="K417" s="446"/>
    </row>
    <row r="418" spans="1:11" x14ac:dyDescent="0.2">
      <c r="A418" s="274"/>
      <c r="B418" s="274"/>
      <c r="C418" s="274"/>
      <c r="D418" s="274"/>
      <c r="E418" s="274"/>
      <c r="F418" s="274"/>
      <c r="G418" s="274"/>
      <c r="H418" s="274"/>
      <c r="I418" s="274"/>
      <c r="J418" s="274"/>
      <c r="K418" s="446"/>
    </row>
    <row r="419" spans="1:11" x14ac:dyDescent="0.2">
      <c r="A419" s="274"/>
      <c r="B419" s="274"/>
      <c r="C419" s="274"/>
      <c r="D419" s="274"/>
      <c r="E419" s="274"/>
      <c r="F419" s="274"/>
      <c r="G419" s="274"/>
      <c r="H419" s="274"/>
      <c r="I419" s="274"/>
      <c r="J419" s="274"/>
      <c r="K419" s="446"/>
    </row>
    <row r="420" spans="1:11" x14ac:dyDescent="0.2">
      <c r="A420" s="274"/>
      <c r="B420" s="274"/>
      <c r="C420" s="274"/>
      <c r="D420" s="274"/>
      <c r="E420" s="274"/>
      <c r="F420" s="274"/>
      <c r="G420" s="274"/>
      <c r="H420" s="274"/>
      <c r="I420" s="274"/>
      <c r="J420" s="274"/>
      <c r="K420" s="446"/>
    </row>
    <row r="421" spans="1:11" x14ac:dyDescent="0.2">
      <c r="A421" s="274"/>
      <c r="B421" s="274"/>
      <c r="C421" s="274"/>
      <c r="D421" s="274"/>
      <c r="E421" s="274"/>
      <c r="F421" s="274"/>
      <c r="G421" s="274"/>
      <c r="H421" s="274"/>
      <c r="I421" s="274"/>
      <c r="J421" s="274"/>
      <c r="K421" s="446"/>
    </row>
    <row r="422" spans="1:11" x14ac:dyDescent="0.2">
      <c r="A422" s="274"/>
      <c r="B422" s="274"/>
      <c r="C422" s="274"/>
      <c r="D422" s="274"/>
      <c r="E422" s="274"/>
      <c r="F422" s="274"/>
      <c r="G422" s="274"/>
      <c r="H422" s="274"/>
      <c r="I422" s="274"/>
      <c r="J422" s="274"/>
      <c r="K422" s="446"/>
    </row>
    <row r="423" spans="1:11" x14ac:dyDescent="0.2">
      <c r="A423" s="274"/>
      <c r="B423" s="274"/>
      <c r="C423" s="274"/>
      <c r="D423" s="274"/>
      <c r="E423" s="274"/>
      <c r="F423" s="274"/>
      <c r="G423" s="274"/>
      <c r="H423" s="274"/>
      <c r="I423" s="274"/>
      <c r="J423" s="274"/>
      <c r="K423" s="446"/>
    </row>
    <row r="424" spans="1:11" x14ac:dyDescent="0.2">
      <c r="A424" s="274"/>
      <c r="B424" s="274"/>
      <c r="C424" s="274"/>
      <c r="D424" s="274"/>
      <c r="E424" s="274"/>
      <c r="F424" s="274"/>
      <c r="G424" s="274"/>
      <c r="H424" s="274"/>
      <c r="I424" s="274"/>
      <c r="J424" s="274"/>
      <c r="K424" s="446"/>
    </row>
    <row r="425" spans="1:11" x14ac:dyDescent="0.2">
      <c r="A425" s="274"/>
      <c r="B425" s="274"/>
      <c r="C425" s="274"/>
      <c r="D425" s="274"/>
      <c r="E425" s="274"/>
      <c r="F425" s="274"/>
      <c r="G425" s="274"/>
      <c r="H425" s="274"/>
      <c r="I425" s="274"/>
      <c r="J425" s="274"/>
      <c r="K425" s="446"/>
    </row>
    <row r="426" spans="1:11" x14ac:dyDescent="0.2">
      <c r="A426" s="274"/>
      <c r="B426" s="274"/>
      <c r="C426" s="274"/>
      <c r="D426" s="274"/>
      <c r="E426" s="274"/>
      <c r="F426" s="274"/>
      <c r="G426" s="274"/>
      <c r="H426" s="274"/>
      <c r="I426" s="274"/>
      <c r="J426" s="274"/>
      <c r="K426" s="446"/>
    </row>
    <row r="427" spans="1:11" x14ac:dyDescent="0.2">
      <c r="A427" s="274"/>
      <c r="B427" s="274"/>
      <c r="C427" s="274"/>
      <c r="D427" s="274"/>
      <c r="E427" s="274"/>
      <c r="F427" s="274"/>
      <c r="G427" s="274"/>
      <c r="H427" s="274"/>
      <c r="I427" s="274"/>
      <c r="J427" s="274"/>
      <c r="K427" s="446"/>
    </row>
    <row r="428" spans="1:11" x14ac:dyDescent="0.2">
      <c r="A428" s="274"/>
      <c r="B428" s="274"/>
      <c r="C428" s="274"/>
      <c r="D428" s="274"/>
      <c r="E428" s="274"/>
      <c r="F428" s="274"/>
      <c r="G428" s="274"/>
      <c r="H428" s="274"/>
      <c r="I428" s="274"/>
      <c r="J428" s="274"/>
      <c r="K428" s="446"/>
    </row>
    <row r="429" spans="1:11" x14ac:dyDescent="0.2">
      <c r="A429" s="274"/>
      <c r="B429" s="274"/>
      <c r="C429" s="274"/>
      <c r="D429" s="274"/>
      <c r="E429" s="274"/>
      <c r="F429" s="274"/>
      <c r="G429" s="274"/>
      <c r="H429" s="274"/>
      <c r="I429" s="274"/>
      <c r="J429" s="274"/>
      <c r="K429" s="446"/>
    </row>
    <row r="430" spans="1:11" x14ac:dyDescent="0.2">
      <c r="A430" s="274"/>
      <c r="B430" s="274"/>
      <c r="C430" s="274"/>
      <c r="D430" s="274"/>
      <c r="E430" s="274"/>
      <c r="F430" s="274"/>
      <c r="G430" s="274"/>
      <c r="H430" s="274"/>
      <c r="I430" s="274"/>
      <c r="J430" s="274"/>
      <c r="K430" s="446"/>
    </row>
    <row r="431" spans="1:11" x14ac:dyDescent="0.2">
      <c r="A431" s="274"/>
      <c r="B431" s="274"/>
      <c r="C431" s="274"/>
      <c r="D431" s="274"/>
      <c r="E431" s="274"/>
      <c r="F431" s="274"/>
      <c r="G431" s="274"/>
      <c r="H431" s="274"/>
      <c r="I431" s="274"/>
      <c r="J431" s="274"/>
      <c r="K431" s="446"/>
    </row>
    <row r="432" spans="1:11" x14ac:dyDescent="0.2">
      <c r="A432" s="274"/>
      <c r="B432" s="274"/>
      <c r="C432" s="274"/>
      <c r="D432" s="274"/>
      <c r="E432" s="274"/>
      <c r="F432" s="274"/>
      <c r="G432" s="274"/>
      <c r="H432" s="274"/>
      <c r="I432" s="274"/>
      <c r="J432" s="274"/>
      <c r="K432" s="446"/>
    </row>
    <row r="433" spans="1:11" x14ac:dyDescent="0.2">
      <c r="A433" s="274"/>
      <c r="B433" s="274"/>
      <c r="C433" s="274"/>
      <c r="D433" s="274"/>
      <c r="E433" s="274"/>
      <c r="F433" s="274"/>
      <c r="G433" s="274"/>
      <c r="H433" s="274"/>
      <c r="I433" s="274"/>
      <c r="J433" s="274"/>
      <c r="K433" s="446"/>
    </row>
    <row r="434" spans="1:11" x14ac:dyDescent="0.2">
      <c r="A434" s="274"/>
      <c r="B434" s="274"/>
      <c r="C434" s="274"/>
      <c r="D434" s="274"/>
      <c r="E434" s="274"/>
      <c r="F434" s="274"/>
      <c r="G434" s="274"/>
      <c r="H434" s="274"/>
      <c r="I434" s="274"/>
      <c r="J434" s="274"/>
      <c r="K434" s="446"/>
    </row>
    <row r="435" spans="1:11" x14ac:dyDescent="0.2">
      <c r="A435" s="274"/>
      <c r="B435" s="274"/>
      <c r="C435" s="274"/>
      <c r="D435" s="274"/>
      <c r="E435" s="274"/>
      <c r="F435" s="274"/>
      <c r="G435" s="274"/>
      <c r="H435" s="274"/>
      <c r="I435" s="274"/>
      <c r="J435" s="274"/>
      <c r="K435" s="446"/>
    </row>
    <row r="436" spans="1:11" x14ac:dyDescent="0.2">
      <c r="A436" s="274"/>
      <c r="B436" s="274"/>
      <c r="C436" s="274"/>
      <c r="D436" s="274"/>
      <c r="E436" s="274"/>
      <c r="F436" s="274"/>
      <c r="G436" s="274"/>
      <c r="H436" s="274"/>
      <c r="I436" s="274"/>
      <c r="J436" s="274"/>
      <c r="K436" s="446"/>
    </row>
    <row r="437" spans="1:11" x14ac:dyDescent="0.2">
      <c r="A437" s="274"/>
      <c r="B437" s="274"/>
      <c r="C437" s="274"/>
      <c r="D437" s="274"/>
      <c r="E437" s="274"/>
      <c r="F437" s="274"/>
      <c r="G437" s="274"/>
      <c r="H437" s="274"/>
      <c r="I437" s="274"/>
      <c r="J437" s="274"/>
      <c r="K437" s="446"/>
    </row>
    <row r="438" spans="1:11" x14ac:dyDescent="0.2">
      <c r="A438" s="274"/>
      <c r="B438" s="274"/>
      <c r="C438" s="274"/>
      <c r="D438" s="274"/>
      <c r="E438" s="274"/>
      <c r="F438" s="274"/>
      <c r="G438" s="274"/>
      <c r="H438" s="274"/>
      <c r="I438" s="274"/>
      <c r="J438" s="274"/>
      <c r="K438" s="446"/>
    </row>
    <row r="439" spans="1:11" x14ac:dyDescent="0.2">
      <c r="A439" s="274"/>
      <c r="B439" s="274"/>
      <c r="C439" s="274"/>
      <c r="D439" s="274"/>
      <c r="E439" s="274"/>
      <c r="F439" s="274"/>
      <c r="G439" s="274"/>
      <c r="H439" s="274"/>
      <c r="I439" s="274"/>
      <c r="J439" s="274"/>
      <c r="K439" s="446"/>
    </row>
    <row r="440" spans="1:11" x14ac:dyDescent="0.2">
      <c r="A440" s="274"/>
      <c r="B440" s="274"/>
      <c r="C440" s="274"/>
      <c r="D440" s="274"/>
      <c r="E440" s="274"/>
      <c r="F440" s="274"/>
      <c r="G440" s="274"/>
      <c r="H440" s="274"/>
      <c r="I440" s="274"/>
      <c r="J440" s="274"/>
      <c r="K440" s="446"/>
    </row>
    <row r="441" spans="1:11" x14ac:dyDescent="0.2">
      <c r="A441" s="274"/>
      <c r="B441" s="274"/>
      <c r="C441" s="274"/>
      <c r="D441" s="274"/>
      <c r="E441" s="274"/>
      <c r="F441" s="274"/>
      <c r="G441" s="274"/>
      <c r="H441" s="274"/>
      <c r="I441" s="274"/>
      <c r="J441" s="274"/>
      <c r="K441" s="446"/>
    </row>
    <row r="442" spans="1:11" x14ac:dyDescent="0.2">
      <c r="A442" s="274"/>
      <c r="B442" s="274"/>
      <c r="C442" s="274"/>
      <c r="D442" s="274"/>
      <c r="E442" s="274"/>
      <c r="F442" s="274"/>
      <c r="G442" s="274"/>
      <c r="H442" s="274"/>
      <c r="I442" s="274"/>
      <c r="J442" s="274"/>
      <c r="K442" s="446"/>
    </row>
    <row r="443" spans="1:11" x14ac:dyDescent="0.2">
      <c r="A443" s="274"/>
      <c r="B443" s="274"/>
      <c r="C443" s="274"/>
      <c r="D443" s="274"/>
      <c r="E443" s="274"/>
      <c r="F443" s="274"/>
      <c r="G443" s="274"/>
      <c r="H443" s="274"/>
      <c r="I443" s="274"/>
      <c r="J443" s="274"/>
      <c r="K443" s="446"/>
    </row>
    <row r="444" spans="1:11" x14ac:dyDescent="0.2">
      <c r="A444" s="274"/>
      <c r="B444" s="274"/>
      <c r="C444" s="274"/>
      <c r="D444" s="274"/>
      <c r="E444" s="274"/>
      <c r="F444" s="274"/>
      <c r="G444" s="274"/>
      <c r="H444" s="274"/>
      <c r="I444" s="274"/>
      <c r="J444" s="274"/>
      <c r="K444" s="446"/>
    </row>
    <row r="445" spans="1:11" x14ac:dyDescent="0.2">
      <c r="A445" s="274"/>
      <c r="B445" s="274"/>
      <c r="C445" s="274"/>
      <c r="D445" s="274"/>
      <c r="E445" s="274"/>
      <c r="F445" s="274"/>
      <c r="G445" s="274"/>
      <c r="H445" s="274"/>
      <c r="I445" s="274"/>
      <c r="J445" s="274"/>
      <c r="K445" s="446"/>
    </row>
    <row r="446" spans="1:11" x14ac:dyDescent="0.2">
      <c r="A446" s="274"/>
      <c r="B446" s="274"/>
      <c r="C446" s="274"/>
      <c r="D446" s="274"/>
      <c r="E446" s="274"/>
      <c r="F446" s="274"/>
      <c r="G446" s="274"/>
      <c r="H446" s="274"/>
      <c r="I446" s="274"/>
      <c r="J446" s="274"/>
      <c r="K446" s="446"/>
    </row>
    <row r="447" spans="1:11" x14ac:dyDescent="0.2">
      <c r="A447" s="274"/>
      <c r="B447" s="274"/>
      <c r="C447" s="274"/>
      <c r="D447" s="274"/>
      <c r="E447" s="274"/>
      <c r="F447" s="274"/>
      <c r="G447" s="274"/>
      <c r="H447" s="274"/>
      <c r="I447" s="274"/>
      <c r="J447" s="274"/>
      <c r="K447" s="446"/>
    </row>
    <row r="448" spans="1:11" x14ac:dyDescent="0.2">
      <c r="A448" s="274"/>
      <c r="B448" s="274"/>
      <c r="C448" s="274"/>
      <c r="D448" s="274"/>
      <c r="E448" s="274"/>
      <c r="F448" s="274"/>
      <c r="G448" s="274"/>
      <c r="H448" s="274"/>
      <c r="I448" s="274"/>
      <c r="J448" s="274"/>
      <c r="K448" s="446"/>
    </row>
    <row r="449" spans="1:11" x14ac:dyDescent="0.2">
      <c r="A449" s="274"/>
      <c r="B449" s="274"/>
      <c r="C449" s="274"/>
      <c r="D449" s="274"/>
      <c r="E449" s="274"/>
      <c r="F449" s="274"/>
      <c r="G449" s="274"/>
      <c r="H449" s="274"/>
      <c r="I449" s="274"/>
      <c r="J449" s="274"/>
      <c r="K449" s="446"/>
    </row>
    <row r="450" spans="1:11" x14ac:dyDescent="0.2">
      <c r="A450" s="274"/>
      <c r="B450" s="274"/>
      <c r="C450" s="274"/>
      <c r="D450" s="274"/>
      <c r="E450" s="274"/>
      <c r="F450" s="274"/>
      <c r="G450" s="274"/>
      <c r="H450" s="274"/>
      <c r="I450" s="274"/>
      <c r="J450" s="274"/>
      <c r="K450" s="446"/>
    </row>
    <row r="451" spans="1:11" x14ac:dyDescent="0.2">
      <c r="A451" s="274"/>
      <c r="B451" s="274"/>
      <c r="C451" s="274"/>
      <c r="D451" s="274"/>
      <c r="E451" s="274"/>
      <c r="F451" s="274"/>
      <c r="G451" s="274"/>
      <c r="H451" s="274"/>
      <c r="I451" s="274"/>
      <c r="J451" s="274"/>
      <c r="K451" s="446"/>
    </row>
    <row r="452" spans="1:11" x14ac:dyDescent="0.2">
      <c r="A452" s="274"/>
      <c r="B452" s="274"/>
      <c r="C452" s="274"/>
      <c r="D452" s="274"/>
      <c r="E452" s="274"/>
      <c r="F452" s="274"/>
      <c r="G452" s="274"/>
      <c r="H452" s="274"/>
      <c r="I452" s="274"/>
      <c r="J452" s="274"/>
      <c r="K452" s="446"/>
    </row>
    <row r="453" spans="1:11" x14ac:dyDescent="0.2">
      <c r="A453" s="274"/>
      <c r="B453" s="274"/>
      <c r="C453" s="274"/>
      <c r="D453" s="274"/>
      <c r="E453" s="274"/>
      <c r="F453" s="274"/>
      <c r="G453" s="274"/>
      <c r="H453" s="274"/>
      <c r="I453" s="274"/>
      <c r="J453" s="274"/>
      <c r="K453" s="446"/>
    </row>
    <row r="454" spans="1:11" x14ac:dyDescent="0.2">
      <c r="A454" s="274"/>
      <c r="B454" s="274"/>
      <c r="C454" s="274"/>
      <c r="D454" s="274"/>
      <c r="E454" s="274"/>
      <c r="F454" s="274"/>
      <c r="G454" s="274"/>
      <c r="H454" s="274"/>
      <c r="I454" s="274"/>
      <c r="J454" s="274"/>
      <c r="K454" s="446"/>
    </row>
    <row r="455" spans="1:11" x14ac:dyDescent="0.2">
      <c r="A455" s="274"/>
      <c r="B455" s="274"/>
      <c r="C455" s="274"/>
      <c r="D455" s="274"/>
      <c r="E455" s="274"/>
      <c r="F455" s="274"/>
      <c r="G455" s="274"/>
      <c r="H455" s="274"/>
      <c r="I455" s="274"/>
      <c r="J455" s="274"/>
      <c r="K455" s="446"/>
    </row>
    <row r="456" spans="1:11" x14ac:dyDescent="0.2">
      <c r="A456" s="274"/>
      <c r="B456" s="274"/>
      <c r="C456" s="274"/>
      <c r="D456" s="274"/>
      <c r="E456" s="274"/>
      <c r="F456" s="274"/>
      <c r="G456" s="274"/>
      <c r="H456" s="274"/>
      <c r="I456" s="274"/>
      <c r="J456" s="274"/>
      <c r="K456" s="446"/>
    </row>
    <row r="457" spans="1:11" x14ac:dyDescent="0.2">
      <c r="A457" s="274"/>
      <c r="B457" s="274"/>
      <c r="C457" s="274"/>
      <c r="D457" s="274"/>
      <c r="E457" s="274"/>
      <c r="F457" s="274"/>
      <c r="G457" s="274"/>
      <c r="H457" s="274"/>
      <c r="I457" s="274"/>
      <c r="J457" s="274"/>
      <c r="K457" s="446"/>
    </row>
    <row r="458" spans="1:11" x14ac:dyDescent="0.2">
      <c r="A458" s="274"/>
      <c r="B458" s="274"/>
      <c r="C458" s="274"/>
      <c r="D458" s="274"/>
      <c r="E458" s="274"/>
      <c r="F458" s="274"/>
      <c r="G458" s="274"/>
      <c r="H458" s="274"/>
      <c r="I458" s="274"/>
      <c r="J458" s="274"/>
      <c r="K458" s="446"/>
    </row>
    <row r="459" spans="1:11" x14ac:dyDescent="0.2">
      <c r="A459" s="274"/>
      <c r="B459" s="274"/>
      <c r="C459" s="274"/>
      <c r="D459" s="274"/>
      <c r="E459" s="274"/>
      <c r="F459" s="274"/>
      <c r="G459" s="274"/>
      <c r="H459" s="274"/>
      <c r="I459" s="274"/>
      <c r="J459" s="274"/>
      <c r="K459" s="446"/>
    </row>
    <row r="460" spans="1:11" x14ac:dyDescent="0.2">
      <c r="A460" s="274"/>
      <c r="B460" s="274"/>
      <c r="C460" s="274"/>
      <c r="D460" s="274"/>
      <c r="E460" s="274"/>
      <c r="F460" s="274"/>
      <c r="G460" s="274"/>
      <c r="H460" s="274"/>
      <c r="I460" s="274"/>
      <c r="J460" s="274"/>
      <c r="K460" s="446"/>
    </row>
    <row r="461" spans="1:11" x14ac:dyDescent="0.2">
      <c r="A461" s="274"/>
      <c r="B461" s="274"/>
      <c r="C461" s="274"/>
      <c r="D461" s="274"/>
      <c r="E461" s="274"/>
      <c r="F461" s="274"/>
      <c r="G461" s="274"/>
      <c r="H461" s="274"/>
      <c r="I461" s="274"/>
      <c r="J461" s="274"/>
      <c r="K461" s="446"/>
    </row>
    <row r="462" spans="1:11" x14ac:dyDescent="0.2">
      <c r="A462" s="274"/>
      <c r="B462" s="274"/>
      <c r="C462" s="274"/>
      <c r="D462" s="274"/>
      <c r="E462" s="274"/>
      <c r="F462" s="274"/>
      <c r="G462" s="274"/>
      <c r="H462" s="274"/>
      <c r="I462" s="274"/>
      <c r="J462" s="274"/>
      <c r="K462" s="446"/>
    </row>
    <row r="463" spans="1:11" x14ac:dyDescent="0.2">
      <c r="A463" s="274"/>
      <c r="B463" s="274"/>
      <c r="C463" s="274"/>
      <c r="D463" s="274"/>
      <c r="E463" s="274"/>
      <c r="F463" s="274"/>
      <c r="G463" s="274"/>
      <c r="H463" s="274"/>
      <c r="I463" s="274"/>
      <c r="J463" s="274"/>
      <c r="K463" s="446"/>
    </row>
    <row r="464" spans="1:11" x14ac:dyDescent="0.2">
      <c r="A464" s="274"/>
      <c r="B464" s="274"/>
      <c r="C464" s="274"/>
      <c r="D464" s="274"/>
      <c r="E464" s="274"/>
      <c r="F464" s="274"/>
      <c r="G464" s="274"/>
      <c r="H464" s="274"/>
      <c r="I464" s="274"/>
      <c r="J464" s="274"/>
      <c r="K464" s="446"/>
    </row>
    <row r="465" spans="1:11" x14ac:dyDescent="0.2">
      <c r="A465" s="274"/>
      <c r="B465" s="274"/>
      <c r="C465" s="274"/>
      <c r="D465" s="274"/>
      <c r="E465" s="274"/>
      <c r="F465" s="274"/>
      <c r="G465" s="274"/>
      <c r="H465" s="274"/>
      <c r="I465" s="274"/>
      <c r="J465" s="274"/>
      <c r="K465" s="446"/>
    </row>
    <row r="466" spans="1:11" x14ac:dyDescent="0.2">
      <c r="A466" s="274"/>
      <c r="B466" s="274"/>
      <c r="C466" s="274"/>
      <c r="D466" s="274"/>
      <c r="E466" s="274"/>
      <c r="F466" s="274"/>
      <c r="G466" s="274"/>
      <c r="H466" s="274"/>
      <c r="I466" s="274"/>
      <c r="J466" s="274"/>
      <c r="K466" s="446"/>
    </row>
    <row r="467" spans="1:11" x14ac:dyDescent="0.2">
      <c r="A467" s="274"/>
      <c r="B467" s="274"/>
      <c r="C467" s="274"/>
      <c r="D467" s="274"/>
      <c r="E467" s="274"/>
      <c r="F467" s="274"/>
      <c r="G467" s="274"/>
      <c r="H467" s="274"/>
      <c r="I467" s="274"/>
      <c r="J467" s="274"/>
      <c r="K467" s="446"/>
    </row>
    <row r="468" spans="1:11" x14ac:dyDescent="0.2">
      <c r="A468" s="274"/>
      <c r="B468" s="274"/>
      <c r="C468" s="274"/>
      <c r="D468" s="274"/>
      <c r="E468" s="274"/>
      <c r="F468" s="274"/>
      <c r="G468" s="274"/>
      <c r="H468" s="274"/>
      <c r="I468" s="274"/>
      <c r="J468" s="274"/>
      <c r="K468" s="446"/>
    </row>
    <row r="469" spans="1:11" x14ac:dyDescent="0.2">
      <c r="A469" s="274"/>
      <c r="B469" s="274"/>
      <c r="C469" s="274"/>
      <c r="D469" s="274"/>
      <c r="E469" s="274"/>
      <c r="F469" s="274"/>
      <c r="G469" s="274"/>
      <c r="H469" s="274"/>
      <c r="I469" s="274"/>
      <c r="J469" s="274"/>
      <c r="K469" s="446"/>
    </row>
    <row r="470" spans="1:11" x14ac:dyDescent="0.2">
      <c r="A470" s="274"/>
      <c r="B470" s="274"/>
      <c r="C470" s="274"/>
      <c r="D470" s="274"/>
      <c r="E470" s="274"/>
      <c r="F470" s="274"/>
      <c r="G470" s="274"/>
      <c r="H470" s="274"/>
      <c r="I470" s="274"/>
      <c r="J470" s="274"/>
      <c r="K470" s="446"/>
    </row>
    <row r="471" spans="1:11" x14ac:dyDescent="0.2">
      <c r="A471" s="274"/>
      <c r="B471" s="274"/>
      <c r="C471" s="274"/>
      <c r="D471" s="274"/>
      <c r="E471" s="274"/>
      <c r="F471" s="274"/>
      <c r="G471" s="274"/>
      <c r="H471" s="274"/>
      <c r="I471" s="274"/>
      <c r="J471" s="274"/>
      <c r="K471" s="446"/>
    </row>
    <row r="472" spans="1:11" x14ac:dyDescent="0.2">
      <c r="A472" s="274"/>
      <c r="B472" s="274"/>
      <c r="C472" s="274"/>
      <c r="D472" s="274"/>
      <c r="E472" s="274"/>
      <c r="F472" s="274"/>
      <c r="G472" s="274"/>
      <c r="H472" s="274"/>
      <c r="I472" s="274"/>
      <c r="J472" s="274"/>
      <c r="K472" s="446"/>
    </row>
    <row r="473" spans="1:11" x14ac:dyDescent="0.2">
      <c r="A473" s="274"/>
      <c r="B473" s="274"/>
      <c r="C473" s="274"/>
      <c r="D473" s="274"/>
      <c r="E473" s="274"/>
      <c r="F473" s="274"/>
      <c r="G473" s="274"/>
      <c r="H473" s="274"/>
      <c r="I473" s="274"/>
      <c r="J473" s="274"/>
      <c r="K473" s="446"/>
    </row>
    <row r="474" spans="1:11" x14ac:dyDescent="0.2">
      <c r="A474" s="274"/>
      <c r="B474" s="274"/>
      <c r="C474" s="274"/>
      <c r="D474" s="274"/>
      <c r="E474" s="274"/>
      <c r="F474" s="274"/>
      <c r="G474" s="274"/>
      <c r="H474" s="274"/>
      <c r="I474" s="274"/>
      <c r="J474" s="274"/>
      <c r="K474" s="446"/>
    </row>
    <row r="475" spans="1:11" x14ac:dyDescent="0.2">
      <c r="A475" s="274"/>
      <c r="B475" s="274"/>
      <c r="C475" s="274"/>
      <c r="D475" s="274"/>
      <c r="E475" s="274"/>
      <c r="F475" s="274"/>
      <c r="G475" s="274"/>
      <c r="H475" s="274"/>
      <c r="I475" s="274"/>
      <c r="J475" s="274"/>
      <c r="K475" s="446"/>
    </row>
    <row r="476" spans="1:11" x14ac:dyDescent="0.2">
      <c r="A476" s="274"/>
      <c r="B476" s="274"/>
      <c r="C476" s="274"/>
      <c r="D476" s="274"/>
      <c r="E476" s="274"/>
      <c r="F476" s="274"/>
      <c r="G476" s="274"/>
      <c r="H476" s="274"/>
      <c r="I476" s="274"/>
      <c r="J476" s="274"/>
      <c r="K476" s="446"/>
    </row>
    <row r="477" spans="1:11" x14ac:dyDescent="0.2">
      <c r="A477" s="274"/>
      <c r="B477" s="274"/>
      <c r="C477" s="274"/>
      <c r="D477" s="274"/>
      <c r="E477" s="274"/>
      <c r="F477" s="274"/>
      <c r="G477" s="274"/>
      <c r="H477" s="274"/>
      <c r="I477" s="274"/>
      <c r="J477" s="274"/>
      <c r="K477" s="446"/>
    </row>
    <row r="478" spans="1:11" x14ac:dyDescent="0.2">
      <c r="A478" s="274"/>
      <c r="B478" s="274"/>
      <c r="C478" s="274"/>
      <c r="D478" s="274"/>
      <c r="E478" s="274"/>
      <c r="F478" s="274"/>
      <c r="G478" s="274"/>
      <c r="H478" s="274"/>
      <c r="I478" s="274"/>
      <c r="J478" s="274"/>
      <c r="K478" s="446"/>
    </row>
    <row r="479" spans="1:11" x14ac:dyDescent="0.2">
      <c r="A479" s="274"/>
      <c r="B479" s="274"/>
      <c r="C479" s="274"/>
      <c r="D479" s="274"/>
      <c r="E479" s="274"/>
      <c r="F479" s="274"/>
      <c r="G479" s="274"/>
      <c r="H479" s="274"/>
      <c r="I479" s="274"/>
      <c r="J479" s="274"/>
      <c r="K479" s="446"/>
    </row>
    <row r="480" spans="1:11" x14ac:dyDescent="0.2">
      <c r="A480" s="274"/>
      <c r="B480" s="274"/>
      <c r="C480" s="274"/>
      <c r="D480" s="274"/>
      <c r="E480" s="274"/>
      <c r="F480" s="274"/>
      <c r="G480" s="274"/>
      <c r="H480" s="274"/>
      <c r="I480" s="274"/>
      <c r="J480" s="274"/>
      <c r="K480" s="446"/>
    </row>
    <row r="481" spans="1:11" x14ac:dyDescent="0.2">
      <c r="A481" s="274"/>
      <c r="B481" s="274"/>
      <c r="C481" s="274"/>
      <c r="D481" s="274"/>
      <c r="E481" s="274"/>
      <c r="F481" s="274"/>
      <c r="G481" s="274"/>
      <c r="H481" s="274"/>
      <c r="I481" s="274"/>
      <c r="J481" s="274"/>
      <c r="K481" s="446"/>
    </row>
    <row r="482" spans="1:11" x14ac:dyDescent="0.2">
      <c r="A482" s="274"/>
      <c r="B482" s="274"/>
      <c r="C482" s="274"/>
      <c r="D482" s="274"/>
      <c r="E482" s="274"/>
      <c r="F482" s="274"/>
      <c r="G482" s="274"/>
      <c r="H482" s="274"/>
      <c r="I482" s="274"/>
      <c r="J482" s="274"/>
      <c r="K482" s="446"/>
    </row>
    <row r="483" spans="1:11" x14ac:dyDescent="0.2">
      <c r="A483" s="274"/>
      <c r="B483" s="274"/>
      <c r="C483" s="274"/>
      <c r="D483" s="274"/>
      <c r="E483" s="274"/>
      <c r="F483" s="274"/>
      <c r="G483" s="274"/>
      <c r="H483" s="274"/>
      <c r="I483" s="274"/>
      <c r="J483" s="274"/>
      <c r="K483" s="446"/>
    </row>
    <row r="484" spans="1:11" x14ac:dyDescent="0.2">
      <c r="A484" s="274"/>
      <c r="B484" s="274"/>
      <c r="C484" s="274"/>
      <c r="D484" s="274"/>
      <c r="E484" s="274"/>
      <c r="F484" s="274"/>
      <c r="G484" s="274"/>
      <c r="H484" s="274"/>
      <c r="I484" s="274"/>
      <c r="J484" s="274"/>
      <c r="K484" s="446"/>
    </row>
    <row r="485" spans="1:11" x14ac:dyDescent="0.2">
      <c r="A485" s="274"/>
      <c r="B485" s="274"/>
      <c r="C485" s="274"/>
      <c r="D485" s="274"/>
      <c r="E485" s="274"/>
      <c r="F485" s="274"/>
      <c r="G485" s="274"/>
      <c r="H485" s="274"/>
      <c r="I485" s="274"/>
      <c r="J485" s="274"/>
      <c r="K485" s="446"/>
    </row>
    <row r="486" spans="1:11" x14ac:dyDescent="0.2">
      <c r="A486" s="274"/>
      <c r="B486" s="274"/>
      <c r="C486" s="274"/>
      <c r="D486" s="274"/>
      <c r="E486" s="274"/>
      <c r="F486" s="274"/>
      <c r="G486" s="274"/>
      <c r="H486" s="274"/>
      <c r="I486" s="274"/>
      <c r="J486" s="274"/>
      <c r="K486" s="446"/>
    </row>
    <row r="487" spans="1:11" x14ac:dyDescent="0.2">
      <c r="A487" s="274"/>
      <c r="B487" s="274"/>
      <c r="C487" s="274"/>
      <c r="D487" s="274"/>
      <c r="E487" s="274"/>
      <c r="F487" s="274"/>
      <c r="G487" s="274"/>
      <c r="H487" s="274"/>
      <c r="I487" s="274"/>
      <c r="J487" s="274"/>
      <c r="K487" s="446"/>
    </row>
    <row r="488" spans="1:11" x14ac:dyDescent="0.2">
      <c r="A488" s="274"/>
      <c r="B488" s="274"/>
      <c r="C488" s="274"/>
      <c r="D488" s="274"/>
      <c r="E488" s="274"/>
      <c r="F488" s="274"/>
      <c r="G488" s="274"/>
      <c r="H488" s="274"/>
      <c r="I488" s="274"/>
      <c r="J488" s="274"/>
      <c r="K488" s="446"/>
    </row>
    <row r="489" spans="1:11" x14ac:dyDescent="0.2">
      <c r="A489" s="274"/>
      <c r="B489" s="274"/>
      <c r="C489" s="274"/>
      <c r="D489" s="274"/>
      <c r="E489" s="274"/>
      <c r="F489" s="274"/>
      <c r="G489" s="274"/>
      <c r="H489" s="274"/>
      <c r="I489" s="274"/>
      <c r="J489" s="274"/>
      <c r="K489" s="446"/>
    </row>
    <row r="490" spans="1:11" x14ac:dyDescent="0.2">
      <c r="A490" s="274"/>
      <c r="B490" s="274"/>
      <c r="C490" s="274"/>
      <c r="D490" s="274"/>
      <c r="E490" s="274"/>
      <c r="F490" s="274"/>
      <c r="G490" s="274"/>
      <c r="H490" s="274"/>
      <c r="I490" s="274"/>
      <c r="J490" s="274"/>
      <c r="K490" s="446"/>
    </row>
    <row r="491" spans="1:11" x14ac:dyDescent="0.2">
      <c r="A491" s="274"/>
      <c r="B491" s="274"/>
      <c r="C491" s="274"/>
      <c r="D491" s="274"/>
      <c r="E491" s="274"/>
      <c r="F491" s="274"/>
      <c r="G491" s="274"/>
      <c r="H491" s="274"/>
      <c r="I491" s="274"/>
      <c r="J491" s="274"/>
      <c r="K491" s="446"/>
    </row>
    <row r="492" spans="1:11" x14ac:dyDescent="0.2">
      <c r="A492" s="274"/>
      <c r="B492" s="274"/>
      <c r="C492" s="274"/>
      <c r="D492" s="274"/>
      <c r="E492" s="274"/>
      <c r="F492" s="274"/>
      <c r="G492" s="274"/>
      <c r="H492" s="274"/>
      <c r="I492" s="274"/>
      <c r="J492" s="274"/>
      <c r="K492" s="446"/>
    </row>
    <row r="493" spans="1:11" x14ac:dyDescent="0.2">
      <c r="A493" s="274"/>
      <c r="B493" s="274"/>
      <c r="C493" s="274"/>
      <c r="D493" s="274"/>
      <c r="E493" s="274"/>
      <c r="F493" s="274"/>
      <c r="G493" s="274"/>
      <c r="H493" s="274"/>
      <c r="I493" s="274"/>
      <c r="J493" s="274"/>
      <c r="K493" s="446"/>
    </row>
    <row r="494" spans="1:11" x14ac:dyDescent="0.2">
      <c r="A494" s="274"/>
      <c r="B494" s="274"/>
      <c r="C494" s="274"/>
      <c r="D494" s="274"/>
      <c r="E494" s="274"/>
      <c r="F494" s="274"/>
      <c r="G494" s="274"/>
      <c r="H494" s="274"/>
      <c r="I494" s="274"/>
      <c r="J494" s="274"/>
      <c r="K494" s="446"/>
    </row>
    <row r="495" spans="1:11" x14ac:dyDescent="0.2">
      <c r="A495" s="274"/>
      <c r="B495" s="274"/>
      <c r="C495" s="274"/>
      <c r="D495" s="274"/>
      <c r="E495" s="274"/>
      <c r="F495" s="274"/>
      <c r="G495" s="274"/>
      <c r="H495" s="274"/>
      <c r="I495" s="274"/>
      <c r="J495" s="274"/>
      <c r="K495" s="446"/>
    </row>
    <row r="496" spans="1:11" x14ac:dyDescent="0.2">
      <c r="A496" s="274"/>
      <c r="B496" s="274"/>
      <c r="C496" s="274"/>
      <c r="D496" s="274"/>
      <c r="E496" s="274"/>
      <c r="F496" s="274"/>
      <c r="G496" s="274"/>
      <c r="H496" s="274"/>
      <c r="I496" s="274"/>
      <c r="J496" s="274"/>
      <c r="K496" s="446"/>
    </row>
    <row r="497" spans="1:11" x14ac:dyDescent="0.2">
      <c r="A497" s="274"/>
      <c r="B497" s="274"/>
      <c r="C497" s="274"/>
      <c r="D497" s="274"/>
      <c r="E497" s="274"/>
      <c r="F497" s="274"/>
      <c r="G497" s="274"/>
      <c r="H497" s="274"/>
      <c r="I497" s="274"/>
      <c r="J497" s="274"/>
      <c r="K497" s="446"/>
    </row>
    <row r="498" spans="1:11" x14ac:dyDescent="0.2">
      <c r="A498" s="274"/>
      <c r="B498" s="274"/>
      <c r="C498" s="274"/>
      <c r="D498" s="274"/>
      <c r="E498" s="274"/>
      <c r="F498" s="274"/>
      <c r="G498" s="274"/>
      <c r="H498" s="274"/>
      <c r="I498" s="274"/>
      <c r="J498" s="274"/>
      <c r="K498" s="446"/>
    </row>
    <row r="499" spans="1:11" x14ac:dyDescent="0.2">
      <c r="A499" s="274"/>
      <c r="B499" s="274"/>
      <c r="C499" s="274"/>
      <c r="D499" s="274"/>
      <c r="E499" s="274"/>
      <c r="F499" s="274"/>
      <c r="G499" s="274"/>
      <c r="H499" s="274"/>
      <c r="I499" s="274"/>
      <c r="J499" s="274"/>
      <c r="K499" s="446"/>
    </row>
    <row r="500" spans="1:11" x14ac:dyDescent="0.2">
      <c r="A500" s="274"/>
      <c r="B500" s="274"/>
      <c r="C500" s="274"/>
      <c r="D500" s="274"/>
      <c r="E500" s="274"/>
      <c r="F500" s="274"/>
      <c r="G500" s="274"/>
      <c r="H500" s="274"/>
      <c r="I500" s="274"/>
      <c r="J500" s="274"/>
      <c r="K500" s="446"/>
    </row>
    <row r="501" spans="1:11" x14ac:dyDescent="0.2">
      <c r="A501" s="274"/>
      <c r="B501" s="274"/>
      <c r="C501" s="274"/>
      <c r="D501" s="274"/>
      <c r="E501" s="274"/>
      <c r="F501" s="274"/>
      <c r="G501" s="274"/>
      <c r="H501" s="274"/>
      <c r="I501" s="274"/>
      <c r="J501" s="274"/>
      <c r="K501" s="446"/>
    </row>
    <row r="502" spans="1:11" x14ac:dyDescent="0.2">
      <c r="A502" s="274"/>
      <c r="B502" s="274"/>
      <c r="C502" s="274"/>
      <c r="D502" s="274"/>
      <c r="E502" s="274"/>
      <c r="F502" s="274"/>
      <c r="G502" s="274"/>
      <c r="H502" s="274"/>
      <c r="I502" s="274"/>
      <c r="J502" s="274"/>
      <c r="K502" s="446"/>
    </row>
    <row r="503" spans="1:11" x14ac:dyDescent="0.2">
      <c r="A503" s="274"/>
      <c r="B503" s="274"/>
      <c r="C503" s="274"/>
      <c r="D503" s="274"/>
      <c r="E503" s="274"/>
      <c r="F503" s="274"/>
      <c r="G503" s="274"/>
      <c r="H503" s="274"/>
      <c r="I503" s="274"/>
      <c r="J503" s="274"/>
      <c r="K503" s="446"/>
    </row>
    <row r="504" spans="1:11" x14ac:dyDescent="0.2">
      <c r="A504" s="274"/>
      <c r="B504" s="274"/>
      <c r="C504" s="274"/>
      <c r="D504" s="274"/>
      <c r="E504" s="274"/>
      <c r="F504" s="274"/>
      <c r="G504" s="274"/>
      <c r="H504" s="274"/>
      <c r="I504" s="274"/>
      <c r="J504" s="274"/>
      <c r="K504" s="446"/>
    </row>
    <row r="505" spans="1:11" x14ac:dyDescent="0.2">
      <c r="A505" s="274"/>
      <c r="B505" s="274"/>
      <c r="C505" s="274"/>
      <c r="D505" s="274"/>
      <c r="E505" s="274"/>
      <c r="F505" s="274"/>
      <c r="G505" s="274"/>
      <c r="H505" s="274"/>
      <c r="I505" s="274"/>
      <c r="J505" s="274"/>
      <c r="K505" s="446"/>
    </row>
    <row r="506" spans="1:11" x14ac:dyDescent="0.2">
      <c r="A506" s="274"/>
      <c r="B506" s="274"/>
      <c r="C506" s="274"/>
      <c r="D506" s="274"/>
      <c r="E506" s="274"/>
      <c r="F506" s="274"/>
      <c r="G506" s="274"/>
      <c r="H506" s="274"/>
      <c r="I506" s="274"/>
      <c r="J506" s="274"/>
      <c r="K506" s="446"/>
    </row>
    <row r="507" spans="1:11" x14ac:dyDescent="0.2">
      <c r="A507" s="274"/>
      <c r="B507" s="274"/>
      <c r="C507" s="274"/>
      <c r="D507" s="274"/>
      <c r="E507" s="274"/>
      <c r="F507" s="274"/>
      <c r="G507" s="274"/>
      <c r="H507" s="274"/>
      <c r="I507" s="274"/>
      <c r="J507" s="274"/>
      <c r="K507" s="446"/>
    </row>
    <row r="508" spans="1:11" x14ac:dyDescent="0.2">
      <c r="A508" s="274"/>
      <c r="B508" s="274"/>
      <c r="C508" s="274"/>
      <c r="D508" s="274"/>
      <c r="E508" s="274"/>
      <c r="F508" s="274"/>
      <c r="G508" s="274"/>
      <c r="H508" s="274"/>
      <c r="I508" s="274"/>
      <c r="J508" s="274"/>
      <c r="K508" s="446"/>
    </row>
    <row r="509" spans="1:11" x14ac:dyDescent="0.2">
      <c r="A509" s="274"/>
      <c r="B509" s="274"/>
      <c r="C509" s="274"/>
      <c r="D509" s="274"/>
      <c r="E509" s="274"/>
      <c r="F509" s="274"/>
      <c r="G509" s="274"/>
      <c r="H509" s="274"/>
      <c r="I509" s="274"/>
      <c r="J509" s="274"/>
      <c r="K509" s="446"/>
    </row>
    <row r="510" spans="1:11" x14ac:dyDescent="0.2">
      <c r="A510" s="274"/>
      <c r="B510" s="274"/>
      <c r="C510" s="274"/>
      <c r="D510" s="274"/>
      <c r="E510" s="274"/>
      <c r="F510" s="274"/>
      <c r="G510" s="274"/>
      <c r="H510" s="274"/>
      <c r="I510" s="274"/>
      <c r="J510" s="274"/>
      <c r="K510" s="446"/>
    </row>
    <row r="511" spans="1:11" x14ac:dyDescent="0.2">
      <c r="A511" s="274"/>
      <c r="B511" s="274"/>
      <c r="C511" s="274"/>
      <c r="D511" s="274"/>
      <c r="E511" s="274"/>
      <c r="F511" s="274"/>
      <c r="G511" s="274"/>
      <c r="H511" s="274"/>
      <c r="I511" s="274"/>
      <c r="J511" s="274"/>
      <c r="K511" s="446"/>
    </row>
    <row r="512" spans="1:11" x14ac:dyDescent="0.2">
      <c r="A512" s="274"/>
      <c r="B512" s="274"/>
      <c r="C512" s="274"/>
      <c r="D512" s="274"/>
      <c r="E512" s="274"/>
      <c r="F512" s="274"/>
      <c r="G512" s="274"/>
      <c r="H512" s="274"/>
      <c r="I512" s="274"/>
      <c r="J512" s="274"/>
      <c r="K512" s="446"/>
    </row>
    <row r="513" spans="1:11" x14ac:dyDescent="0.2">
      <c r="A513" s="274"/>
      <c r="B513" s="274"/>
      <c r="C513" s="274"/>
      <c r="D513" s="274"/>
      <c r="E513" s="274"/>
      <c r="F513" s="274"/>
      <c r="G513" s="274"/>
      <c r="H513" s="274"/>
      <c r="I513" s="274"/>
      <c r="J513" s="274"/>
      <c r="K513" s="446"/>
    </row>
    <row r="514" spans="1:11" x14ac:dyDescent="0.2">
      <c r="A514" s="274"/>
      <c r="B514" s="274"/>
      <c r="C514" s="274"/>
      <c r="D514" s="274"/>
      <c r="E514" s="274"/>
      <c r="F514" s="274"/>
      <c r="G514" s="274"/>
      <c r="H514" s="274"/>
      <c r="I514" s="274"/>
      <c r="J514" s="274"/>
      <c r="K514" s="446"/>
    </row>
    <row r="515" spans="1:11" x14ac:dyDescent="0.2">
      <c r="A515" s="274"/>
      <c r="B515" s="274"/>
      <c r="C515" s="274"/>
      <c r="D515" s="274"/>
      <c r="E515" s="274"/>
      <c r="F515" s="274"/>
      <c r="G515" s="274"/>
      <c r="H515" s="274"/>
      <c r="I515" s="274"/>
      <c r="J515" s="274"/>
      <c r="K515" s="446"/>
    </row>
    <row r="516" spans="1:11" x14ac:dyDescent="0.2">
      <c r="A516" s="274"/>
      <c r="B516" s="274"/>
      <c r="C516" s="274"/>
      <c r="D516" s="274"/>
      <c r="E516" s="274"/>
      <c r="F516" s="274"/>
      <c r="G516" s="274"/>
      <c r="H516" s="274"/>
      <c r="I516" s="274"/>
      <c r="J516" s="274"/>
      <c r="K516" s="446"/>
    </row>
    <row r="517" spans="1:11" x14ac:dyDescent="0.2">
      <c r="A517" s="274"/>
      <c r="B517" s="274"/>
      <c r="C517" s="274"/>
      <c r="D517" s="274"/>
      <c r="E517" s="274"/>
      <c r="F517" s="274"/>
      <c r="G517" s="274"/>
      <c r="H517" s="274"/>
      <c r="I517" s="274"/>
      <c r="J517" s="274"/>
      <c r="K517" s="446"/>
    </row>
    <row r="518" spans="1:11" x14ac:dyDescent="0.2">
      <c r="A518" s="274"/>
      <c r="B518" s="274"/>
      <c r="C518" s="274"/>
      <c r="D518" s="274"/>
      <c r="E518" s="274"/>
      <c r="F518" s="274"/>
      <c r="G518" s="274"/>
      <c r="H518" s="274"/>
      <c r="I518" s="274"/>
      <c r="J518" s="274"/>
      <c r="K518" s="446"/>
    </row>
    <row r="519" spans="1:11" x14ac:dyDescent="0.2">
      <c r="A519" s="274"/>
      <c r="B519" s="274"/>
      <c r="C519" s="274"/>
      <c r="D519" s="274"/>
      <c r="E519" s="274"/>
      <c r="F519" s="274"/>
      <c r="G519" s="274"/>
      <c r="H519" s="274"/>
      <c r="I519" s="274"/>
      <c r="J519" s="274"/>
      <c r="K519" s="446"/>
    </row>
    <row r="520" spans="1:11" x14ac:dyDescent="0.2">
      <c r="A520" s="274"/>
      <c r="B520" s="274"/>
      <c r="C520" s="274"/>
      <c r="D520" s="274"/>
      <c r="E520" s="274"/>
      <c r="F520" s="274"/>
      <c r="G520" s="274"/>
      <c r="H520" s="274"/>
      <c r="I520" s="274"/>
      <c r="J520" s="274"/>
      <c r="K520" s="446"/>
    </row>
    <row r="521" spans="1:11" x14ac:dyDescent="0.2">
      <c r="A521" s="274"/>
      <c r="B521" s="274"/>
      <c r="C521" s="274"/>
      <c r="D521" s="274"/>
      <c r="E521" s="274"/>
      <c r="F521" s="274"/>
      <c r="G521" s="274"/>
      <c r="H521" s="274"/>
      <c r="I521" s="274"/>
      <c r="J521" s="274"/>
      <c r="K521" s="446"/>
    </row>
    <row r="522" spans="1:11" x14ac:dyDescent="0.2">
      <c r="A522" s="274"/>
      <c r="B522" s="274"/>
      <c r="C522" s="274"/>
      <c r="D522" s="274"/>
      <c r="E522" s="274"/>
      <c r="F522" s="274"/>
      <c r="G522" s="274"/>
      <c r="H522" s="274"/>
      <c r="I522" s="274"/>
      <c r="J522" s="274"/>
      <c r="K522" s="446"/>
    </row>
    <row r="523" spans="1:11" x14ac:dyDescent="0.2">
      <c r="A523" s="274"/>
      <c r="B523" s="274"/>
      <c r="C523" s="274"/>
      <c r="D523" s="274"/>
      <c r="E523" s="274"/>
      <c r="F523" s="274"/>
      <c r="G523" s="274"/>
      <c r="H523" s="274"/>
      <c r="I523" s="274"/>
      <c r="J523" s="274"/>
      <c r="K523" s="446"/>
    </row>
    <row r="524" spans="1:11" x14ac:dyDescent="0.2">
      <c r="A524" s="274"/>
      <c r="B524" s="274"/>
      <c r="C524" s="274"/>
      <c r="D524" s="274"/>
      <c r="E524" s="274"/>
      <c r="F524" s="274"/>
      <c r="G524" s="274"/>
      <c r="H524" s="274"/>
      <c r="I524" s="274"/>
      <c r="J524" s="274"/>
      <c r="K524" s="446"/>
    </row>
    <row r="525" spans="1:11" x14ac:dyDescent="0.2">
      <c r="A525" s="274"/>
      <c r="B525" s="274"/>
      <c r="C525" s="274"/>
      <c r="D525" s="274"/>
      <c r="E525" s="274"/>
      <c r="F525" s="274"/>
      <c r="G525" s="274"/>
      <c r="H525" s="274"/>
      <c r="I525" s="274"/>
      <c r="J525" s="274"/>
      <c r="K525" s="446"/>
    </row>
    <row r="526" spans="1:11" x14ac:dyDescent="0.2">
      <c r="A526" s="274"/>
      <c r="B526" s="274"/>
      <c r="C526" s="274"/>
      <c r="D526" s="274"/>
      <c r="E526" s="274"/>
      <c r="F526" s="274"/>
      <c r="G526" s="274"/>
      <c r="H526" s="274"/>
      <c r="I526" s="274"/>
      <c r="J526" s="274"/>
      <c r="K526" s="446"/>
    </row>
    <row r="527" spans="1:11" x14ac:dyDescent="0.2">
      <c r="A527" s="274"/>
      <c r="B527" s="274"/>
      <c r="C527" s="274"/>
      <c r="D527" s="274"/>
      <c r="E527" s="274"/>
      <c r="F527" s="274"/>
      <c r="G527" s="274"/>
      <c r="H527" s="274"/>
      <c r="I527" s="274"/>
      <c r="J527" s="274"/>
      <c r="K527" s="446"/>
    </row>
    <row r="528" spans="1:11" x14ac:dyDescent="0.2">
      <c r="A528" s="274"/>
      <c r="B528" s="274"/>
      <c r="C528" s="274"/>
      <c r="D528" s="274"/>
      <c r="E528" s="274"/>
      <c r="F528" s="274"/>
      <c r="G528" s="274"/>
      <c r="H528" s="274"/>
      <c r="I528" s="274"/>
      <c r="J528" s="274"/>
      <c r="K528" s="446"/>
    </row>
    <row r="529" spans="1:11" x14ac:dyDescent="0.2">
      <c r="A529" s="274"/>
      <c r="B529" s="274"/>
      <c r="C529" s="274"/>
      <c r="D529" s="274"/>
      <c r="E529" s="274"/>
      <c r="F529" s="274"/>
      <c r="G529" s="274"/>
      <c r="H529" s="274"/>
      <c r="I529" s="274"/>
      <c r="J529" s="274"/>
      <c r="K529" s="446"/>
    </row>
    <row r="530" spans="1:11" x14ac:dyDescent="0.2">
      <c r="A530" s="274"/>
      <c r="B530" s="274"/>
      <c r="C530" s="274"/>
      <c r="D530" s="274"/>
      <c r="E530" s="274"/>
      <c r="F530" s="274"/>
      <c r="G530" s="274"/>
      <c r="H530" s="274"/>
      <c r="I530" s="274"/>
      <c r="J530" s="274"/>
      <c r="K530" s="446"/>
    </row>
    <row r="531" spans="1:11" x14ac:dyDescent="0.2">
      <c r="A531" s="274"/>
      <c r="B531" s="274"/>
      <c r="C531" s="274"/>
      <c r="D531" s="274"/>
      <c r="E531" s="274"/>
      <c r="F531" s="274"/>
      <c r="G531" s="274"/>
      <c r="H531" s="274"/>
      <c r="I531" s="274"/>
      <c r="J531" s="274"/>
      <c r="K531" s="446"/>
    </row>
    <row r="532" spans="1:11" x14ac:dyDescent="0.2">
      <c r="A532" s="274"/>
      <c r="B532" s="274"/>
      <c r="C532" s="274"/>
      <c r="D532" s="274"/>
      <c r="E532" s="274"/>
      <c r="F532" s="274"/>
      <c r="G532" s="274"/>
      <c r="H532" s="274"/>
      <c r="I532" s="274"/>
      <c r="J532" s="274"/>
      <c r="K532" s="446"/>
    </row>
    <row r="533" spans="1:11" x14ac:dyDescent="0.2">
      <c r="A533" s="274"/>
      <c r="B533" s="274"/>
      <c r="C533" s="274"/>
      <c r="D533" s="274"/>
      <c r="E533" s="274"/>
      <c r="F533" s="274"/>
      <c r="G533" s="274"/>
      <c r="H533" s="274"/>
      <c r="I533" s="274"/>
      <c r="J533" s="274"/>
      <c r="K533" s="446"/>
    </row>
    <row r="534" spans="1:11" x14ac:dyDescent="0.2">
      <c r="A534" s="274"/>
      <c r="B534" s="274"/>
      <c r="C534" s="274"/>
      <c r="D534" s="274"/>
      <c r="E534" s="274"/>
      <c r="F534" s="274"/>
      <c r="G534" s="274"/>
      <c r="H534" s="274"/>
      <c r="I534" s="274"/>
      <c r="J534" s="274"/>
      <c r="K534" s="446"/>
    </row>
    <row r="535" spans="1:11" x14ac:dyDescent="0.2">
      <c r="A535" s="274"/>
      <c r="B535" s="274"/>
      <c r="C535" s="274"/>
      <c r="D535" s="274"/>
      <c r="E535" s="274"/>
      <c r="F535" s="274"/>
      <c r="G535" s="274"/>
      <c r="H535" s="274"/>
      <c r="I535" s="274"/>
      <c r="J535" s="274"/>
      <c r="K535" s="446"/>
    </row>
    <row r="536" spans="1:11" x14ac:dyDescent="0.2">
      <c r="A536" s="274"/>
      <c r="B536" s="274"/>
      <c r="C536" s="274"/>
      <c r="D536" s="274"/>
      <c r="E536" s="274"/>
      <c r="F536" s="274"/>
      <c r="G536" s="274"/>
      <c r="H536" s="274"/>
      <c r="I536" s="274"/>
      <c r="J536" s="274"/>
      <c r="K536" s="446"/>
    </row>
    <row r="537" spans="1:11" x14ac:dyDescent="0.2">
      <c r="A537" s="274"/>
      <c r="B537" s="274"/>
      <c r="C537" s="274"/>
      <c r="D537" s="274"/>
      <c r="E537" s="274"/>
      <c r="F537" s="274"/>
      <c r="G537" s="274"/>
      <c r="H537" s="274"/>
      <c r="I537" s="274"/>
      <c r="J537" s="274"/>
      <c r="K537" s="446"/>
    </row>
    <row r="538" spans="1:11" x14ac:dyDescent="0.2">
      <c r="A538" s="274"/>
      <c r="B538" s="274"/>
      <c r="C538" s="274"/>
      <c r="D538" s="274"/>
      <c r="E538" s="274"/>
      <c r="F538" s="274"/>
      <c r="G538" s="274"/>
      <c r="H538" s="274"/>
      <c r="I538" s="274"/>
      <c r="J538" s="274"/>
      <c r="K538" s="446"/>
    </row>
    <row r="539" spans="1:11" x14ac:dyDescent="0.2">
      <c r="A539" s="274"/>
      <c r="B539" s="274"/>
      <c r="C539" s="274"/>
      <c r="D539" s="274"/>
      <c r="E539" s="274"/>
      <c r="F539" s="274"/>
      <c r="G539" s="274"/>
      <c r="H539" s="274"/>
      <c r="I539" s="274"/>
      <c r="J539" s="274"/>
      <c r="K539" s="446"/>
    </row>
    <row r="540" spans="1:11" x14ac:dyDescent="0.2">
      <c r="A540" s="274"/>
      <c r="B540" s="274"/>
      <c r="C540" s="274"/>
      <c r="D540" s="274"/>
      <c r="E540" s="274"/>
      <c r="F540" s="274"/>
      <c r="G540" s="274"/>
      <c r="H540" s="274"/>
      <c r="I540" s="274"/>
      <c r="J540" s="274"/>
      <c r="K540" s="446"/>
    </row>
    <row r="541" spans="1:11" x14ac:dyDescent="0.2">
      <c r="A541" s="274"/>
      <c r="B541" s="274"/>
      <c r="C541" s="274"/>
      <c r="D541" s="274"/>
      <c r="E541" s="274"/>
      <c r="F541" s="274"/>
      <c r="G541" s="274"/>
      <c r="H541" s="274"/>
      <c r="I541" s="274"/>
      <c r="J541" s="274"/>
      <c r="K541" s="446"/>
    </row>
    <row r="542" spans="1:11" x14ac:dyDescent="0.2">
      <c r="A542" s="274"/>
      <c r="B542" s="274"/>
      <c r="C542" s="274"/>
      <c r="D542" s="274"/>
      <c r="E542" s="274"/>
      <c r="F542" s="274"/>
      <c r="G542" s="274"/>
      <c r="H542" s="274"/>
      <c r="I542" s="274"/>
      <c r="J542" s="274"/>
      <c r="K542" s="446"/>
    </row>
    <row r="543" spans="1:11" x14ac:dyDescent="0.2">
      <c r="A543" s="274"/>
      <c r="B543" s="274"/>
      <c r="C543" s="274"/>
      <c r="D543" s="274"/>
      <c r="E543" s="274"/>
      <c r="F543" s="274"/>
      <c r="G543" s="274"/>
      <c r="H543" s="274"/>
      <c r="I543" s="274"/>
      <c r="J543" s="274"/>
      <c r="K543" s="446"/>
    </row>
    <row r="544" spans="1:11" x14ac:dyDescent="0.2">
      <c r="A544" s="274"/>
      <c r="B544" s="274"/>
      <c r="C544" s="274"/>
      <c r="D544" s="274"/>
      <c r="E544" s="274"/>
      <c r="F544" s="274"/>
      <c r="G544" s="274"/>
      <c r="H544" s="274"/>
      <c r="I544" s="274"/>
      <c r="J544" s="274"/>
      <c r="K544" s="446"/>
    </row>
    <row r="545" spans="1:11" x14ac:dyDescent="0.2">
      <c r="A545" s="274"/>
      <c r="B545" s="274"/>
      <c r="C545" s="274"/>
      <c r="D545" s="274"/>
      <c r="E545" s="274"/>
      <c r="F545" s="274"/>
      <c r="G545" s="274"/>
      <c r="H545" s="274"/>
      <c r="I545" s="274"/>
      <c r="J545" s="274"/>
      <c r="K545" s="446"/>
    </row>
    <row r="546" spans="1:11" x14ac:dyDescent="0.2">
      <c r="A546" s="274"/>
      <c r="B546" s="274"/>
      <c r="C546" s="274"/>
      <c r="D546" s="274"/>
      <c r="E546" s="274"/>
      <c r="F546" s="274"/>
      <c r="G546" s="274"/>
      <c r="H546" s="274"/>
      <c r="I546" s="274"/>
      <c r="J546" s="274"/>
      <c r="K546" s="446"/>
    </row>
    <row r="547" spans="1:11" x14ac:dyDescent="0.2">
      <c r="A547" s="274"/>
      <c r="B547" s="274"/>
      <c r="C547" s="274"/>
      <c r="D547" s="274"/>
      <c r="E547" s="274"/>
      <c r="F547" s="274"/>
      <c r="G547" s="274"/>
      <c r="H547" s="274"/>
      <c r="I547" s="274"/>
      <c r="J547" s="274"/>
      <c r="K547" s="446"/>
    </row>
    <row r="548" spans="1:11" x14ac:dyDescent="0.2">
      <c r="A548" s="274"/>
      <c r="B548" s="274"/>
      <c r="C548" s="274"/>
      <c r="D548" s="274"/>
      <c r="E548" s="274"/>
      <c r="F548" s="274"/>
      <c r="G548" s="274"/>
      <c r="H548" s="274"/>
      <c r="I548" s="274"/>
      <c r="J548" s="274"/>
      <c r="K548" s="446"/>
    </row>
    <row r="549" spans="1:11" x14ac:dyDescent="0.2">
      <c r="A549" s="274"/>
      <c r="B549" s="274"/>
      <c r="C549" s="274"/>
      <c r="D549" s="274"/>
      <c r="E549" s="274"/>
      <c r="F549" s="274"/>
      <c r="G549" s="274"/>
      <c r="H549" s="274"/>
      <c r="I549" s="274"/>
      <c r="J549" s="274"/>
      <c r="K549" s="446"/>
    </row>
    <row r="550" spans="1:11" x14ac:dyDescent="0.2">
      <c r="A550" s="274"/>
      <c r="B550" s="274"/>
      <c r="C550" s="274"/>
      <c r="D550" s="274"/>
      <c r="E550" s="274"/>
      <c r="F550" s="274"/>
      <c r="G550" s="274"/>
      <c r="H550" s="274"/>
      <c r="I550" s="274"/>
      <c r="J550" s="274"/>
      <c r="K550" s="446"/>
    </row>
    <row r="551" spans="1:11" x14ac:dyDescent="0.2">
      <c r="A551" s="274"/>
      <c r="B551" s="274"/>
      <c r="C551" s="274"/>
      <c r="D551" s="274"/>
      <c r="E551" s="274"/>
      <c r="F551" s="274"/>
      <c r="G551" s="274"/>
      <c r="H551" s="274"/>
      <c r="I551" s="274"/>
      <c r="J551" s="274"/>
      <c r="K551" s="446"/>
    </row>
    <row r="552" spans="1:11" x14ac:dyDescent="0.2">
      <c r="A552" s="274"/>
      <c r="B552" s="274"/>
      <c r="C552" s="274"/>
      <c r="D552" s="274"/>
      <c r="E552" s="274"/>
      <c r="F552" s="274"/>
      <c r="G552" s="274"/>
      <c r="H552" s="274"/>
      <c r="I552" s="274"/>
      <c r="J552" s="274"/>
      <c r="K552" s="446"/>
    </row>
    <row r="553" spans="1:11" x14ac:dyDescent="0.2">
      <c r="A553" s="274"/>
      <c r="B553" s="274"/>
      <c r="C553" s="274"/>
      <c r="D553" s="274"/>
      <c r="E553" s="274"/>
      <c r="F553" s="274"/>
      <c r="G553" s="274"/>
      <c r="H553" s="274"/>
      <c r="I553" s="274"/>
      <c r="J553" s="274"/>
      <c r="K553" s="446"/>
    </row>
    <row r="554" spans="1:11" x14ac:dyDescent="0.2">
      <c r="A554" s="274"/>
      <c r="B554" s="274"/>
      <c r="C554" s="274"/>
      <c r="D554" s="274"/>
      <c r="E554" s="274"/>
      <c r="F554" s="274"/>
      <c r="G554" s="274"/>
      <c r="H554" s="274"/>
      <c r="I554" s="274"/>
      <c r="J554" s="274"/>
      <c r="K554" s="446"/>
    </row>
    <row r="555" spans="1:11" x14ac:dyDescent="0.2">
      <c r="A555" s="274"/>
      <c r="B555" s="274"/>
      <c r="C555" s="274"/>
      <c r="D555" s="274"/>
      <c r="E555" s="274"/>
      <c r="F555" s="274"/>
      <c r="G555" s="274"/>
      <c r="H555" s="274"/>
      <c r="I555" s="274"/>
      <c r="J555" s="274"/>
      <c r="K555" s="446"/>
    </row>
    <row r="556" spans="1:11" x14ac:dyDescent="0.2">
      <c r="A556" s="274"/>
      <c r="B556" s="274"/>
      <c r="C556" s="274"/>
      <c r="D556" s="274"/>
      <c r="E556" s="274"/>
      <c r="F556" s="274"/>
      <c r="G556" s="274"/>
      <c r="H556" s="274"/>
      <c r="I556" s="274"/>
      <c r="J556" s="274"/>
      <c r="K556" s="446"/>
    </row>
    <row r="557" spans="1:11" x14ac:dyDescent="0.2">
      <c r="A557" s="274"/>
      <c r="B557" s="274"/>
      <c r="C557" s="274"/>
      <c r="D557" s="274"/>
      <c r="E557" s="274"/>
      <c r="F557" s="274"/>
      <c r="G557" s="274"/>
      <c r="H557" s="274"/>
      <c r="I557" s="274"/>
      <c r="J557" s="274"/>
      <c r="K557" s="446"/>
    </row>
    <row r="558" spans="1:11" x14ac:dyDescent="0.2">
      <c r="A558" s="274"/>
      <c r="B558" s="274"/>
      <c r="C558" s="274"/>
      <c r="D558" s="274"/>
      <c r="E558" s="274"/>
      <c r="F558" s="274"/>
      <c r="G558" s="274"/>
      <c r="H558" s="274"/>
      <c r="I558" s="274"/>
      <c r="J558" s="274"/>
      <c r="K558" s="446"/>
    </row>
    <row r="559" spans="1:11" x14ac:dyDescent="0.2">
      <c r="A559" s="274"/>
      <c r="B559" s="274"/>
      <c r="C559" s="274"/>
      <c r="D559" s="274"/>
      <c r="E559" s="274"/>
      <c r="F559" s="274"/>
      <c r="G559" s="274"/>
      <c r="H559" s="274"/>
      <c r="I559" s="274"/>
      <c r="J559" s="274"/>
      <c r="K559" s="446"/>
    </row>
    <row r="560" spans="1:11" x14ac:dyDescent="0.2">
      <c r="A560" s="274"/>
      <c r="B560" s="274"/>
      <c r="C560" s="274"/>
      <c r="D560" s="274"/>
      <c r="E560" s="274"/>
      <c r="F560" s="274"/>
      <c r="G560" s="274"/>
      <c r="H560" s="274"/>
      <c r="I560" s="274"/>
      <c r="J560" s="274"/>
      <c r="K560" s="446"/>
    </row>
    <row r="561" spans="1:11" x14ac:dyDescent="0.2">
      <c r="A561" s="274"/>
      <c r="B561" s="274"/>
      <c r="C561" s="274"/>
      <c r="D561" s="274"/>
      <c r="E561" s="274"/>
      <c r="F561" s="274"/>
      <c r="G561" s="274"/>
      <c r="H561" s="274"/>
      <c r="I561" s="274"/>
      <c r="J561" s="274"/>
      <c r="K561" s="446"/>
    </row>
    <row r="562" spans="1:11" x14ac:dyDescent="0.2">
      <c r="A562" s="274"/>
      <c r="B562" s="274"/>
      <c r="C562" s="274"/>
      <c r="D562" s="274"/>
      <c r="E562" s="274"/>
      <c r="F562" s="274"/>
      <c r="G562" s="274"/>
      <c r="H562" s="274"/>
      <c r="I562" s="274"/>
      <c r="J562" s="274"/>
      <c r="K562" s="446"/>
    </row>
    <row r="563" spans="1:11" x14ac:dyDescent="0.2">
      <c r="A563" s="274"/>
      <c r="B563" s="274"/>
      <c r="C563" s="274"/>
      <c r="D563" s="274"/>
      <c r="E563" s="274"/>
      <c r="F563" s="274"/>
      <c r="G563" s="274"/>
      <c r="H563" s="274"/>
      <c r="I563" s="274"/>
      <c r="J563" s="274"/>
      <c r="K563" s="446"/>
    </row>
    <row r="564" spans="1:11" x14ac:dyDescent="0.2">
      <c r="A564" s="274"/>
      <c r="B564" s="274"/>
      <c r="C564" s="274"/>
      <c r="D564" s="274"/>
      <c r="E564" s="274"/>
      <c r="F564" s="274"/>
      <c r="G564" s="274"/>
      <c r="H564" s="274"/>
      <c r="I564" s="274"/>
      <c r="J564" s="274"/>
      <c r="K564" s="446"/>
    </row>
    <row r="565" spans="1:11" x14ac:dyDescent="0.2">
      <c r="A565" s="274"/>
      <c r="B565" s="274"/>
      <c r="C565" s="274"/>
      <c r="D565" s="274"/>
      <c r="E565" s="274"/>
      <c r="F565" s="274"/>
      <c r="G565" s="274"/>
      <c r="H565" s="274"/>
      <c r="I565" s="274"/>
      <c r="J565" s="274"/>
      <c r="K565" s="446"/>
    </row>
    <row r="566" spans="1:11" x14ac:dyDescent="0.2">
      <c r="A566" s="274"/>
      <c r="B566" s="274"/>
      <c r="C566" s="274"/>
      <c r="D566" s="274"/>
      <c r="E566" s="274"/>
      <c r="F566" s="274"/>
      <c r="G566" s="274"/>
      <c r="H566" s="274"/>
      <c r="I566" s="274"/>
      <c r="J566" s="274"/>
      <c r="K566" s="446"/>
    </row>
    <row r="567" spans="1:11" x14ac:dyDescent="0.2">
      <c r="A567" s="274"/>
      <c r="B567" s="274"/>
      <c r="C567" s="274"/>
      <c r="D567" s="274"/>
      <c r="E567" s="274"/>
      <c r="F567" s="274"/>
      <c r="G567" s="274"/>
      <c r="H567" s="274"/>
      <c r="I567" s="274"/>
      <c r="J567" s="274"/>
      <c r="K567" s="446"/>
    </row>
    <row r="568" spans="1:11" x14ac:dyDescent="0.2">
      <c r="A568" s="274"/>
      <c r="B568" s="274"/>
      <c r="C568" s="274"/>
      <c r="D568" s="274"/>
      <c r="E568" s="274"/>
      <c r="F568" s="274"/>
      <c r="G568" s="274"/>
      <c r="H568" s="274"/>
      <c r="I568" s="274"/>
      <c r="J568" s="274"/>
      <c r="K568" s="446"/>
    </row>
    <row r="569" spans="1:11" x14ac:dyDescent="0.2">
      <c r="A569" s="274"/>
      <c r="B569" s="274"/>
      <c r="C569" s="274"/>
      <c r="D569" s="274"/>
      <c r="E569" s="274"/>
      <c r="F569" s="274"/>
      <c r="G569" s="274"/>
      <c r="H569" s="274"/>
      <c r="I569" s="274"/>
      <c r="J569" s="274"/>
      <c r="K569" s="446"/>
    </row>
    <row r="570" spans="1:11" x14ac:dyDescent="0.2">
      <c r="A570" s="274"/>
      <c r="B570" s="274"/>
      <c r="C570" s="274"/>
      <c r="D570" s="274"/>
      <c r="E570" s="274"/>
      <c r="F570" s="274"/>
      <c r="G570" s="274"/>
      <c r="H570" s="274"/>
      <c r="I570" s="274"/>
      <c r="J570" s="274"/>
      <c r="K570" s="446"/>
    </row>
    <row r="571" spans="1:11" x14ac:dyDescent="0.2">
      <c r="A571" s="274"/>
      <c r="B571" s="274"/>
      <c r="C571" s="274"/>
      <c r="D571" s="274"/>
      <c r="E571" s="274"/>
      <c r="F571" s="274"/>
      <c r="G571" s="274"/>
      <c r="H571" s="274"/>
      <c r="I571" s="274"/>
      <c r="J571" s="274"/>
      <c r="K571" s="446"/>
    </row>
    <row r="572" spans="1:11" x14ac:dyDescent="0.2">
      <c r="A572" s="274"/>
      <c r="B572" s="274"/>
      <c r="C572" s="274"/>
      <c r="D572" s="274"/>
      <c r="E572" s="274"/>
      <c r="F572" s="274"/>
      <c r="G572" s="274"/>
      <c r="H572" s="274"/>
      <c r="I572" s="274"/>
      <c r="J572" s="274"/>
      <c r="K572" s="446"/>
    </row>
    <row r="573" spans="1:11" x14ac:dyDescent="0.2">
      <c r="A573" s="274"/>
      <c r="B573" s="274"/>
      <c r="C573" s="274"/>
      <c r="D573" s="274"/>
      <c r="E573" s="274"/>
      <c r="F573" s="274"/>
      <c r="G573" s="274"/>
      <c r="H573" s="274"/>
      <c r="I573" s="274"/>
      <c r="J573" s="274"/>
      <c r="K573" s="446"/>
    </row>
    <row r="574" spans="1:11" x14ac:dyDescent="0.2">
      <c r="A574" s="274"/>
      <c r="B574" s="274"/>
      <c r="C574" s="274"/>
      <c r="D574" s="274"/>
      <c r="E574" s="274"/>
      <c r="F574" s="274"/>
      <c r="G574" s="274"/>
      <c r="H574" s="274"/>
      <c r="I574" s="274"/>
      <c r="J574" s="274"/>
      <c r="K574" s="446"/>
    </row>
    <row r="575" spans="1:11" x14ac:dyDescent="0.2">
      <c r="A575" s="274"/>
      <c r="B575" s="274"/>
      <c r="C575" s="274"/>
      <c r="D575" s="274"/>
      <c r="E575" s="274"/>
      <c r="F575" s="274"/>
      <c r="G575" s="274"/>
      <c r="H575" s="274"/>
      <c r="I575" s="274"/>
      <c r="J575" s="274"/>
      <c r="K575" s="446"/>
    </row>
    <row r="576" spans="1:11" x14ac:dyDescent="0.2">
      <c r="A576" s="274"/>
      <c r="B576" s="274"/>
      <c r="C576" s="274"/>
      <c r="D576" s="274"/>
      <c r="E576" s="274"/>
      <c r="F576" s="274"/>
      <c r="G576" s="274"/>
      <c r="H576" s="274"/>
      <c r="I576" s="274"/>
      <c r="J576" s="274"/>
      <c r="K576" s="446"/>
    </row>
    <row r="577" spans="1:11" x14ac:dyDescent="0.2">
      <c r="A577" s="274"/>
      <c r="B577" s="274"/>
      <c r="C577" s="274"/>
      <c r="D577" s="274"/>
      <c r="E577" s="274"/>
      <c r="F577" s="274"/>
      <c r="G577" s="274"/>
      <c r="H577" s="274"/>
      <c r="I577" s="274"/>
      <c r="J577" s="274"/>
      <c r="K577" s="446"/>
    </row>
    <row r="578" spans="1:11" x14ac:dyDescent="0.2">
      <c r="A578" s="274"/>
      <c r="B578" s="274"/>
      <c r="C578" s="274"/>
      <c r="D578" s="274"/>
      <c r="E578" s="274"/>
      <c r="F578" s="274"/>
      <c r="G578" s="274"/>
      <c r="H578" s="274"/>
      <c r="I578" s="274"/>
      <c r="J578" s="274"/>
      <c r="K578" s="446"/>
    </row>
    <row r="579" spans="1:11" x14ac:dyDescent="0.2">
      <c r="A579" s="274"/>
      <c r="B579" s="274"/>
      <c r="C579" s="274"/>
      <c r="D579" s="274"/>
      <c r="E579" s="274"/>
      <c r="F579" s="274"/>
      <c r="G579" s="274"/>
      <c r="H579" s="274"/>
      <c r="I579" s="274"/>
      <c r="J579" s="274"/>
      <c r="K579" s="446"/>
    </row>
    <row r="580" spans="1:11" x14ac:dyDescent="0.2">
      <c r="A580" s="274"/>
      <c r="B580" s="274"/>
      <c r="C580" s="274"/>
      <c r="D580" s="274"/>
      <c r="E580" s="274"/>
      <c r="F580" s="274"/>
      <c r="G580" s="274"/>
      <c r="H580" s="274"/>
      <c r="I580" s="274"/>
      <c r="J580" s="274"/>
      <c r="K580" s="446"/>
    </row>
    <row r="581" spans="1:11" x14ac:dyDescent="0.2">
      <c r="A581" s="274"/>
      <c r="B581" s="274"/>
      <c r="C581" s="274"/>
      <c r="D581" s="274"/>
      <c r="E581" s="274"/>
      <c r="F581" s="274"/>
      <c r="G581" s="274"/>
      <c r="H581" s="274"/>
      <c r="I581" s="274"/>
      <c r="J581" s="274"/>
      <c r="K581" s="446"/>
    </row>
    <row r="582" spans="1:11" x14ac:dyDescent="0.2">
      <c r="A582" s="274"/>
      <c r="B582" s="274"/>
      <c r="C582" s="274"/>
      <c r="D582" s="274"/>
      <c r="E582" s="274"/>
      <c r="F582" s="274"/>
      <c r="G582" s="274"/>
      <c r="H582" s="274"/>
      <c r="I582" s="274"/>
      <c r="J582" s="274"/>
      <c r="K582" s="446"/>
    </row>
    <row r="583" spans="1:11" x14ac:dyDescent="0.2">
      <c r="A583" s="274"/>
      <c r="B583" s="274"/>
      <c r="C583" s="274"/>
      <c r="D583" s="274"/>
      <c r="E583" s="274"/>
      <c r="F583" s="274"/>
      <c r="G583" s="274"/>
      <c r="H583" s="274"/>
      <c r="I583" s="274"/>
      <c r="J583" s="274"/>
      <c r="K583" s="446"/>
    </row>
    <row r="584" spans="1:11" x14ac:dyDescent="0.2">
      <c r="A584" s="274"/>
      <c r="B584" s="274"/>
      <c r="C584" s="274"/>
      <c r="D584" s="274"/>
      <c r="E584" s="274"/>
      <c r="F584" s="274"/>
      <c r="G584" s="274"/>
      <c r="H584" s="274"/>
      <c r="I584" s="274"/>
      <c r="J584" s="274"/>
      <c r="K584" s="446"/>
    </row>
    <row r="585" spans="1:11" x14ac:dyDescent="0.2">
      <c r="A585" s="274"/>
      <c r="B585" s="274"/>
      <c r="C585" s="274"/>
      <c r="D585" s="274"/>
      <c r="E585" s="274"/>
      <c r="F585" s="274"/>
      <c r="G585" s="274"/>
      <c r="H585" s="274"/>
      <c r="I585" s="274"/>
      <c r="J585" s="274"/>
      <c r="K585" s="446"/>
    </row>
    <row r="586" spans="1:11" x14ac:dyDescent="0.2">
      <c r="A586" s="274"/>
      <c r="B586" s="274"/>
      <c r="C586" s="274"/>
      <c r="D586" s="274"/>
      <c r="E586" s="274"/>
      <c r="F586" s="274"/>
      <c r="G586" s="274"/>
      <c r="H586" s="274"/>
      <c r="I586" s="274"/>
      <c r="J586" s="274"/>
      <c r="K586" s="446"/>
    </row>
    <row r="587" spans="1:11" x14ac:dyDescent="0.2">
      <c r="A587" s="274"/>
      <c r="B587" s="274"/>
      <c r="C587" s="274"/>
      <c r="D587" s="274"/>
      <c r="E587" s="274"/>
      <c r="F587" s="274"/>
      <c r="G587" s="274"/>
      <c r="H587" s="274"/>
      <c r="I587" s="274"/>
      <c r="J587" s="274"/>
      <c r="K587" s="446"/>
    </row>
    <row r="588" spans="1:11" x14ac:dyDescent="0.2">
      <c r="A588" s="274"/>
      <c r="B588" s="274"/>
      <c r="C588" s="274"/>
      <c r="D588" s="274"/>
      <c r="E588" s="274"/>
      <c r="F588" s="274"/>
      <c r="G588" s="274"/>
      <c r="H588" s="274"/>
      <c r="I588" s="274"/>
      <c r="J588" s="274"/>
      <c r="K588" s="446"/>
    </row>
    <row r="589" spans="1:11" x14ac:dyDescent="0.2">
      <c r="A589" s="274"/>
      <c r="B589" s="274"/>
      <c r="C589" s="274"/>
      <c r="D589" s="274"/>
      <c r="E589" s="274"/>
      <c r="F589" s="274"/>
      <c r="G589" s="274"/>
      <c r="H589" s="274"/>
      <c r="I589" s="274"/>
      <c r="J589" s="274"/>
      <c r="K589" s="446"/>
    </row>
    <row r="590" spans="1:11" x14ac:dyDescent="0.2">
      <c r="A590" s="274"/>
      <c r="B590" s="274"/>
      <c r="C590" s="274"/>
      <c r="D590" s="274"/>
      <c r="E590" s="274"/>
      <c r="F590" s="274"/>
      <c r="G590" s="274"/>
      <c r="H590" s="274"/>
      <c r="I590" s="274"/>
      <c r="J590" s="274"/>
      <c r="K590" s="446"/>
    </row>
    <row r="591" spans="1:11" x14ac:dyDescent="0.2">
      <c r="A591" s="274"/>
      <c r="B591" s="274"/>
      <c r="C591" s="274"/>
      <c r="D591" s="274"/>
      <c r="E591" s="274"/>
      <c r="F591" s="274"/>
      <c r="G591" s="274"/>
      <c r="H591" s="274"/>
      <c r="I591" s="274"/>
      <c r="J591" s="274"/>
      <c r="K591" s="446"/>
    </row>
    <row r="592" spans="1:11" x14ac:dyDescent="0.2">
      <c r="A592" s="274"/>
      <c r="B592" s="274"/>
      <c r="C592" s="274"/>
      <c r="D592" s="274"/>
      <c r="E592" s="274"/>
      <c r="F592" s="274"/>
      <c r="G592" s="274"/>
      <c r="H592" s="274"/>
      <c r="I592" s="274"/>
      <c r="J592" s="274"/>
      <c r="K592" s="446"/>
    </row>
    <row r="593" spans="1:11" x14ac:dyDescent="0.2">
      <c r="A593" s="274"/>
      <c r="B593" s="274"/>
      <c r="C593" s="274"/>
      <c r="D593" s="274"/>
      <c r="E593" s="274"/>
      <c r="F593" s="274"/>
      <c r="G593" s="274"/>
      <c r="H593" s="274"/>
      <c r="I593" s="274"/>
      <c r="J593" s="274"/>
      <c r="K593" s="446"/>
    </row>
    <row r="594" spans="1:11" x14ac:dyDescent="0.2">
      <c r="A594" s="274"/>
      <c r="B594" s="274"/>
      <c r="C594" s="274"/>
      <c r="D594" s="274"/>
      <c r="E594" s="274"/>
      <c r="F594" s="274"/>
      <c r="G594" s="274"/>
      <c r="H594" s="274"/>
      <c r="I594" s="274"/>
      <c r="J594" s="274"/>
      <c r="K594" s="446"/>
    </row>
    <row r="595" spans="1:11" x14ac:dyDescent="0.2">
      <c r="A595" s="274"/>
      <c r="B595" s="274"/>
      <c r="C595" s="274"/>
      <c r="D595" s="274"/>
      <c r="E595" s="274"/>
      <c r="F595" s="274"/>
      <c r="G595" s="274"/>
      <c r="H595" s="274"/>
      <c r="I595" s="274"/>
      <c r="J595" s="274"/>
      <c r="K595" s="446"/>
    </row>
    <row r="596" spans="1:11" x14ac:dyDescent="0.2">
      <c r="A596" s="274"/>
      <c r="B596" s="274"/>
      <c r="C596" s="274"/>
      <c r="D596" s="274"/>
      <c r="E596" s="274"/>
      <c r="F596" s="274"/>
      <c r="G596" s="274"/>
      <c r="H596" s="274"/>
      <c r="I596" s="274"/>
      <c r="J596" s="274"/>
      <c r="K596" s="446"/>
    </row>
    <row r="597" spans="1:11" x14ac:dyDescent="0.2">
      <c r="A597" s="274"/>
      <c r="B597" s="274"/>
      <c r="C597" s="274"/>
      <c r="D597" s="274"/>
      <c r="E597" s="274"/>
      <c r="F597" s="274"/>
      <c r="G597" s="274"/>
      <c r="H597" s="274"/>
      <c r="I597" s="274"/>
      <c r="J597" s="274"/>
      <c r="K597" s="446"/>
    </row>
    <row r="598" spans="1:11" x14ac:dyDescent="0.2">
      <c r="A598" s="274"/>
      <c r="B598" s="274"/>
      <c r="C598" s="274"/>
      <c r="D598" s="274"/>
      <c r="E598" s="274"/>
      <c r="F598" s="274"/>
      <c r="G598" s="274"/>
      <c r="H598" s="274"/>
      <c r="I598" s="274"/>
      <c r="J598" s="274"/>
      <c r="K598" s="446"/>
    </row>
    <row r="599" spans="1:11" x14ac:dyDescent="0.2">
      <c r="A599" s="274"/>
      <c r="B599" s="274"/>
      <c r="C599" s="274"/>
      <c r="D599" s="274"/>
      <c r="E599" s="274"/>
      <c r="F599" s="274"/>
      <c r="G599" s="274"/>
      <c r="H599" s="274"/>
      <c r="I599" s="274"/>
      <c r="J599" s="274"/>
      <c r="K599" s="446"/>
    </row>
    <row r="600" spans="1:11" x14ac:dyDescent="0.2">
      <c r="A600" s="274"/>
      <c r="B600" s="274"/>
      <c r="C600" s="274"/>
      <c r="D600" s="274"/>
      <c r="E600" s="274"/>
      <c r="F600" s="274"/>
      <c r="G600" s="274"/>
      <c r="H600" s="274"/>
      <c r="I600" s="274"/>
      <c r="J600" s="274"/>
      <c r="K600" s="446"/>
    </row>
    <row r="601" spans="1:11" x14ac:dyDescent="0.2">
      <c r="A601" s="274"/>
      <c r="B601" s="274"/>
      <c r="C601" s="274"/>
      <c r="D601" s="274"/>
      <c r="E601" s="274"/>
      <c r="F601" s="274"/>
      <c r="G601" s="274"/>
      <c r="H601" s="274"/>
      <c r="I601" s="274"/>
      <c r="J601" s="274"/>
      <c r="K601" s="446"/>
    </row>
    <row r="602" spans="1:11" x14ac:dyDescent="0.2">
      <c r="A602" s="274"/>
      <c r="B602" s="274"/>
      <c r="C602" s="274"/>
      <c r="D602" s="274"/>
      <c r="E602" s="274"/>
      <c r="F602" s="274"/>
      <c r="G602" s="274"/>
      <c r="H602" s="274"/>
      <c r="I602" s="274"/>
      <c r="J602" s="274"/>
      <c r="K602" s="446"/>
    </row>
    <row r="603" spans="1:11" x14ac:dyDescent="0.2">
      <c r="A603" s="274"/>
      <c r="B603" s="274"/>
      <c r="C603" s="274"/>
      <c r="D603" s="274"/>
      <c r="E603" s="274"/>
      <c r="F603" s="274"/>
      <c r="G603" s="274"/>
      <c r="H603" s="274"/>
      <c r="I603" s="274"/>
      <c r="J603" s="274"/>
      <c r="K603" s="446"/>
    </row>
    <row r="604" spans="1:11" x14ac:dyDescent="0.2">
      <c r="A604" s="274"/>
      <c r="B604" s="274"/>
      <c r="C604" s="274"/>
      <c r="D604" s="274"/>
      <c r="E604" s="274"/>
      <c r="F604" s="274"/>
      <c r="G604" s="274"/>
      <c r="H604" s="274"/>
      <c r="I604" s="274"/>
      <c r="J604" s="274"/>
      <c r="K604" s="446"/>
    </row>
    <row r="605" spans="1:11" x14ac:dyDescent="0.2">
      <c r="A605" s="274"/>
      <c r="B605" s="274"/>
      <c r="C605" s="274"/>
      <c r="D605" s="274"/>
      <c r="E605" s="274"/>
      <c r="F605" s="274"/>
      <c r="G605" s="274"/>
      <c r="H605" s="274"/>
      <c r="I605" s="274"/>
      <c r="J605" s="274"/>
      <c r="K605" s="446"/>
    </row>
    <row r="606" spans="1:11" x14ac:dyDescent="0.2">
      <c r="A606" s="274"/>
      <c r="B606" s="274"/>
      <c r="C606" s="274"/>
      <c r="D606" s="274"/>
      <c r="E606" s="274"/>
      <c r="F606" s="274"/>
      <c r="G606" s="274"/>
      <c r="H606" s="274"/>
      <c r="I606" s="274"/>
      <c r="J606" s="274"/>
      <c r="K606" s="446"/>
    </row>
    <row r="607" spans="1:11" x14ac:dyDescent="0.2">
      <c r="A607" s="274"/>
      <c r="B607" s="274"/>
      <c r="C607" s="274"/>
      <c r="D607" s="274"/>
      <c r="E607" s="274"/>
      <c r="F607" s="274"/>
      <c r="G607" s="274"/>
      <c r="H607" s="274"/>
      <c r="I607" s="274"/>
      <c r="J607" s="274"/>
      <c r="K607" s="446"/>
    </row>
    <row r="608" spans="1:11" x14ac:dyDescent="0.2">
      <c r="A608" s="274"/>
      <c r="B608" s="274"/>
      <c r="C608" s="274"/>
      <c r="D608" s="274"/>
      <c r="E608" s="274"/>
      <c r="F608" s="274"/>
      <c r="G608" s="274"/>
      <c r="H608" s="274"/>
      <c r="I608" s="274"/>
      <c r="J608" s="274"/>
      <c r="K608" s="446"/>
    </row>
    <row r="609" spans="1:11" x14ac:dyDescent="0.2">
      <c r="A609" s="274"/>
      <c r="B609" s="274"/>
      <c r="C609" s="274"/>
      <c r="D609" s="274"/>
      <c r="E609" s="274"/>
      <c r="F609" s="274"/>
      <c r="G609" s="274"/>
      <c r="H609" s="274"/>
      <c r="I609" s="274"/>
      <c r="J609" s="274"/>
      <c r="K609" s="446"/>
    </row>
    <row r="610" spans="1:11" x14ac:dyDescent="0.2">
      <c r="A610" s="274"/>
      <c r="B610" s="274"/>
      <c r="C610" s="274"/>
      <c r="D610" s="274"/>
      <c r="E610" s="274"/>
      <c r="F610" s="274"/>
      <c r="G610" s="274"/>
      <c r="H610" s="274"/>
      <c r="I610" s="274"/>
      <c r="J610" s="274"/>
      <c r="K610" s="446"/>
    </row>
    <row r="611" spans="1:11" x14ac:dyDescent="0.2">
      <c r="A611" s="274"/>
      <c r="B611" s="274"/>
      <c r="C611" s="274"/>
      <c r="D611" s="274"/>
      <c r="E611" s="274"/>
      <c r="F611" s="274"/>
      <c r="G611" s="274"/>
      <c r="H611" s="274"/>
      <c r="I611" s="274"/>
      <c r="J611" s="274"/>
      <c r="K611" s="446"/>
    </row>
    <row r="612" spans="1:11" x14ac:dyDescent="0.2">
      <c r="A612" s="274"/>
      <c r="B612" s="274"/>
      <c r="C612" s="274"/>
      <c r="D612" s="274"/>
      <c r="E612" s="274"/>
      <c r="F612" s="274"/>
      <c r="G612" s="274"/>
      <c r="H612" s="274"/>
      <c r="I612" s="274"/>
      <c r="J612" s="274"/>
      <c r="K612" s="446"/>
    </row>
    <row r="613" spans="1:11" x14ac:dyDescent="0.2">
      <c r="A613" s="274"/>
      <c r="B613" s="274"/>
      <c r="C613" s="274"/>
      <c r="D613" s="274"/>
      <c r="E613" s="274"/>
      <c r="F613" s="274"/>
      <c r="G613" s="274"/>
      <c r="H613" s="274"/>
      <c r="I613" s="274"/>
      <c r="J613" s="274"/>
      <c r="K613" s="446"/>
    </row>
    <row r="614" spans="1:11" x14ac:dyDescent="0.2">
      <c r="A614" s="274"/>
      <c r="B614" s="274"/>
      <c r="C614" s="274"/>
      <c r="D614" s="274"/>
      <c r="E614" s="274"/>
      <c r="F614" s="274"/>
      <c r="G614" s="274"/>
      <c r="H614" s="274"/>
      <c r="I614" s="274"/>
      <c r="J614" s="274"/>
      <c r="K614" s="446"/>
    </row>
    <row r="615" spans="1:11" x14ac:dyDescent="0.2">
      <c r="A615" s="274"/>
      <c r="B615" s="274"/>
      <c r="C615" s="274"/>
      <c r="D615" s="274"/>
      <c r="E615" s="274"/>
      <c r="F615" s="274"/>
      <c r="G615" s="274"/>
      <c r="H615" s="274"/>
      <c r="I615" s="274"/>
      <c r="J615" s="274"/>
      <c r="K615" s="446"/>
    </row>
    <row r="616" spans="1:11" x14ac:dyDescent="0.2">
      <c r="A616" s="274"/>
      <c r="B616" s="274"/>
      <c r="C616" s="274"/>
      <c r="D616" s="274"/>
      <c r="E616" s="274"/>
      <c r="F616" s="274"/>
      <c r="G616" s="274"/>
      <c r="H616" s="274"/>
      <c r="I616" s="274"/>
      <c r="J616" s="274"/>
      <c r="K616" s="446"/>
    </row>
    <row r="617" spans="1:11" x14ac:dyDescent="0.2">
      <c r="A617" s="274"/>
      <c r="B617" s="274"/>
      <c r="C617" s="274"/>
      <c r="D617" s="274"/>
      <c r="E617" s="274"/>
      <c r="F617" s="274"/>
      <c r="G617" s="274"/>
      <c r="H617" s="274"/>
      <c r="I617" s="274"/>
      <c r="J617" s="274"/>
      <c r="K617" s="446"/>
    </row>
    <row r="618" spans="1:11" x14ac:dyDescent="0.2">
      <c r="A618" s="274"/>
      <c r="B618" s="274"/>
      <c r="C618" s="274"/>
      <c r="D618" s="274"/>
      <c r="E618" s="274"/>
      <c r="F618" s="274"/>
      <c r="G618" s="274"/>
      <c r="H618" s="274"/>
      <c r="I618" s="274"/>
      <c r="J618" s="274"/>
      <c r="K618" s="446"/>
    </row>
    <row r="619" spans="1:11" x14ac:dyDescent="0.2">
      <c r="A619" s="274"/>
      <c r="B619" s="274"/>
      <c r="C619" s="274"/>
      <c r="D619" s="274"/>
      <c r="E619" s="274"/>
      <c r="F619" s="274"/>
      <c r="G619" s="274"/>
      <c r="H619" s="274"/>
      <c r="I619" s="274"/>
      <c r="J619" s="274"/>
      <c r="K619" s="446"/>
    </row>
    <row r="620" spans="1:11" x14ac:dyDescent="0.2">
      <c r="A620" s="274"/>
      <c r="B620" s="274"/>
      <c r="C620" s="274"/>
      <c r="D620" s="274"/>
      <c r="E620" s="274"/>
      <c r="F620" s="274"/>
      <c r="G620" s="274"/>
      <c r="H620" s="274"/>
      <c r="I620" s="274"/>
      <c r="J620" s="274"/>
      <c r="K620" s="446"/>
    </row>
    <row r="621" spans="1:11" x14ac:dyDescent="0.2">
      <c r="A621" s="274"/>
      <c r="B621" s="274"/>
      <c r="C621" s="274"/>
      <c r="D621" s="274"/>
      <c r="E621" s="274"/>
      <c r="F621" s="274"/>
      <c r="G621" s="274"/>
      <c r="H621" s="274"/>
      <c r="I621" s="274"/>
      <c r="J621" s="274"/>
      <c r="K621" s="446"/>
    </row>
    <row r="622" spans="1:11" x14ac:dyDescent="0.2">
      <c r="A622" s="274"/>
      <c r="B622" s="274"/>
      <c r="C622" s="274"/>
      <c r="D622" s="274"/>
      <c r="E622" s="274"/>
      <c r="F622" s="274"/>
      <c r="G622" s="274"/>
      <c r="H622" s="274"/>
      <c r="I622" s="274"/>
      <c r="J622" s="274"/>
      <c r="K622" s="446"/>
    </row>
    <row r="623" spans="1:11" x14ac:dyDescent="0.2">
      <c r="A623" s="274"/>
      <c r="B623" s="274"/>
      <c r="C623" s="274"/>
      <c r="D623" s="274"/>
      <c r="E623" s="274"/>
      <c r="F623" s="274"/>
      <c r="G623" s="274"/>
      <c r="H623" s="274"/>
      <c r="I623" s="274"/>
      <c r="J623" s="274"/>
      <c r="K623" s="446"/>
    </row>
    <row r="624" spans="1:11" x14ac:dyDescent="0.2">
      <c r="A624" s="274"/>
      <c r="B624" s="274"/>
      <c r="C624" s="274"/>
      <c r="D624" s="274"/>
      <c r="E624" s="274"/>
      <c r="F624" s="274"/>
      <c r="G624" s="274"/>
      <c r="H624" s="274"/>
      <c r="I624" s="274"/>
      <c r="J624" s="274"/>
      <c r="K624" s="446"/>
    </row>
    <row r="625" spans="1:11" x14ac:dyDescent="0.2">
      <c r="A625" s="274"/>
      <c r="B625" s="274"/>
      <c r="C625" s="274"/>
      <c r="D625" s="274"/>
      <c r="E625" s="274"/>
      <c r="F625" s="274"/>
      <c r="G625" s="274"/>
      <c r="H625" s="274"/>
      <c r="I625" s="274"/>
      <c r="J625" s="274"/>
      <c r="K625" s="446"/>
    </row>
    <row r="626" spans="1:11" x14ac:dyDescent="0.2">
      <c r="A626" s="274"/>
      <c r="B626" s="274"/>
      <c r="C626" s="274"/>
      <c r="D626" s="274"/>
      <c r="E626" s="274"/>
      <c r="F626" s="274"/>
      <c r="G626" s="274"/>
      <c r="H626" s="274"/>
      <c r="I626" s="274"/>
      <c r="J626" s="274"/>
      <c r="K626" s="446"/>
    </row>
    <row r="627" spans="1:11" x14ac:dyDescent="0.2">
      <c r="A627" s="274"/>
      <c r="B627" s="274"/>
      <c r="C627" s="274"/>
      <c r="D627" s="274"/>
      <c r="E627" s="274"/>
      <c r="F627" s="274"/>
      <c r="G627" s="274"/>
      <c r="H627" s="274"/>
      <c r="I627" s="274"/>
      <c r="J627" s="274"/>
      <c r="K627" s="446"/>
    </row>
    <row r="628" spans="1:11" x14ac:dyDescent="0.2">
      <c r="A628" s="274"/>
      <c r="B628" s="274"/>
      <c r="C628" s="274"/>
      <c r="D628" s="274"/>
      <c r="E628" s="274"/>
      <c r="F628" s="274"/>
      <c r="G628" s="274"/>
      <c r="H628" s="274"/>
      <c r="I628" s="274"/>
      <c r="J628" s="274"/>
      <c r="K628" s="446"/>
    </row>
    <row r="629" spans="1:11" x14ac:dyDescent="0.2">
      <c r="A629" s="274"/>
      <c r="B629" s="274"/>
      <c r="C629" s="274"/>
      <c r="D629" s="274"/>
      <c r="E629" s="274"/>
      <c r="F629" s="274"/>
      <c r="G629" s="274"/>
      <c r="H629" s="274"/>
      <c r="I629" s="274"/>
      <c r="J629" s="274"/>
      <c r="K629" s="446"/>
    </row>
    <row r="630" spans="1:11" x14ac:dyDescent="0.2">
      <c r="A630" s="274"/>
      <c r="B630" s="274"/>
      <c r="C630" s="274"/>
      <c r="D630" s="274"/>
      <c r="E630" s="274"/>
      <c r="F630" s="274"/>
      <c r="G630" s="274"/>
      <c r="H630" s="274"/>
      <c r="I630" s="274"/>
      <c r="J630" s="274"/>
      <c r="K630" s="446"/>
    </row>
    <row r="631" spans="1:11" x14ac:dyDescent="0.2">
      <c r="A631" s="274"/>
      <c r="B631" s="274"/>
      <c r="C631" s="274"/>
      <c r="D631" s="274"/>
      <c r="E631" s="274"/>
      <c r="F631" s="274"/>
      <c r="G631" s="274"/>
      <c r="H631" s="274"/>
      <c r="I631" s="274"/>
      <c r="J631" s="274"/>
      <c r="K631" s="446"/>
    </row>
    <row r="632" spans="1:11" x14ac:dyDescent="0.2">
      <c r="A632" s="274"/>
      <c r="B632" s="274"/>
      <c r="C632" s="274"/>
      <c r="D632" s="274"/>
      <c r="E632" s="274"/>
      <c r="F632" s="274"/>
      <c r="G632" s="274"/>
      <c r="H632" s="274"/>
      <c r="I632" s="274"/>
      <c r="J632" s="274"/>
      <c r="K632" s="446"/>
    </row>
    <row r="633" spans="1:11" x14ac:dyDescent="0.2">
      <c r="A633" s="274"/>
      <c r="B633" s="274"/>
      <c r="C633" s="274"/>
      <c r="D633" s="274"/>
      <c r="E633" s="274"/>
      <c r="F633" s="274"/>
      <c r="G633" s="274"/>
      <c r="H633" s="274"/>
      <c r="I633" s="274"/>
      <c r="J633" s="274"/>
      <c r="K633" s="446"/>
    </row>
    <row r="634" spans="1:11" x14ac:dyDescent="0.2">
      <c r="A634" s="274"/>
      <c r="B634" s="274"/>
      <c r="C634" s="274"/>
      <c r="D634" s="274"/>
      <c r="E634" s="274"/>
      <c r="F634" s="274"/>
      <c r="G634" s="274"/>
      <c r="H634" s="274"/>
      <c r="I634" s="274"/>
      <c r="J634" s="274"/>
      <c r="K634" s="446"/>
    </row>
    <row r="635" spans="1:11" x14ac:dyDescent="0.2">
      <c r="A635" s="274"/>
      <c r="B635" s="274"/>
      <c r="C635" s="274"/>
      <c r="D635" s="274"/>
      <c r="E635" s="274"/>
      <c r="F635" s="274"/>
      <c r="G635" s="274"/>
      <c r="H635" s="274"/>
      <c r="I635" s="274"/>
      <c r="J635" s="274"/>
      <c r="K635" s="446"/>
    </row>
    <row r="636" spans="1:11" x14ac:dyDescent="0.2">
      <c r="A636" s="274"/>
      <c r="B636" s="274"/>
      <c r="C636" s="274"/>
      <c r="D636" s="274"/>
      <c r="E636" s="274"/>
      <c r="F636" s="274"/>
      <c r="G636" s="274"/>
      <c r="H636" s="274"/>
      <c r="I636" s="274"/>
      <c r="J636" s="274"/>
      <c r="K636" s="446"/>
    </row>
    <row r="637" spans="1:11" x14ac:dyDescent="0.2">
      <c r="A637" s="274"/>
      <c r="B637" s="274"/>
      <c r="C637" s="274"/>
      <c r="D637" s="274"/>
      <c r="E637" s="274"/>
      <c r="F637" s="274"/>
      <c r="G637" s="274"/>
      <c r="H637" s="274"/>
      <c r="I637" s="274"/>
      <c r="J637" s="274"/>
      <c r="K637" s="446"/>
    </row>
    <row r="638" spans="1:11" x14ac:dyDescent="0.2">
      <c r="A638" s="274"/>
      <c r="B638" s="274"/>
      <c r="C638" s="274"/>
      <c r="D638" s="274"/>
      <c r="E638" s="274"/>
      <c r="F638" s="274"/>
      <c r="G638" s="274"/>
      <c r="H638" s="274"/>
      <c r="I638" s="274"/>
      <c r="J638" s="274"/>
      <c r="K638" s="446"/>
    </row>
    <row r="639" spans="1:11" x14ac:dyDescent="0.2">
      <c r="A639" s="274"/>
      <c r="B639" s="274"/>
      <c r="C639" s="274"/>
      <c r="D639" s="274"/>
      <c r="E639" s="274"/>
      <c r="F639" s="274"/>
      <c r="G639" s="274"/>
      <c r="H639" s="274"/>
      <c r="I639" s="274"/>
      <c r="J639" s="274"/>
      <c r="K639" s="446"/>
    </row>
    <row r="640" spans="1:11" x14ac:dyDescent="0.2">
      <c r="A640" s="274"/>
      <c r="B640" s="274"/>
      <c r="C640" s="274"/>
      <c r="D640" s="274"/>
      <c r="E640" s="274"/>
      <c r="F640" s="274"/>
      <c r="G640" s="274"/>
      <c r="H640" s="274"/>
      <c r="I640" s="274"/>
      <c r="J640" s="274"/>
      <c r="K640" s="446"/>
    </row>
    <row r="641" spans="1:11" x14ac:dyDescent="0.2">
      <c r="A641" s="274"/>
      <c r="B641" s="274"/>
      <c r="C641" s="274"/>
      <c r="D641" s="274"/>
      <c r="E641" s="274"/>
      <c r="F641" s="274"/>
      <c r="G641" s="274"/>
      <c r="H641" s="274"/>
      <c r="I641" s="274"/>
      <c r="J641" s="274"/>
      <c r="K641" s="446"/>
    </row>
    <row r="642" spans="1:11" x14ac:dyDescent="0.2">
      <c r="A642" s="274"/>
      <c r="B642" s="274"/>
      <c r="C642" s="274"/>
      <c r="D642" s="274"/>
      <c r="E642" s="274"/>
      <c r="F642" s="274"/>
      <c r="G642" s="274"/>
      <c r="H642" s="274"/>
      <c r="I642" s="274"/>
      <c r="J642" s="274"/>
      <c r="K642" s="446"/>
    </row>
    <row r="643" spans="1:11" x14ac:dyDescent="0.2">
      <c r="A643" s="274"/>
      <c r="B643" s="274"/>
      <c r="C643" s="274"/>
      <c r="D643" s="274"/>
      <c r="E643" s="274"/>
      <c r="F643" s="274"/>
      <c r="G643" s="274"/>
      <c r="H643" s="274"/>
      <c r="I643" s="274"/>
      <c r="J643" s="274"/>
      <c r="K643" s="446"/>
    </row>
    <row r="644" spans="1:11" x14ac:dyDescent="0.2">
      <c r="A644" s="274"/>
      <c r="B644" s="274"/>
      <c r="C644" s="274"/>
      <c r="D644" s="274"/>
      <c r="E644" s="274"/>
      <c r="F644" s="274"/>
      <c r="G644" s="274"/>
      <c r="H644" s="274"/>
      <c r="I644" s="274"/>
      <c r="J644" s="274"/>
      <c r="K644" s="446"/>
    </row>
    <row r="645" spans="1:11" x14ac:dyDescent="0.2">
      <c r="A645" s="274"/>
      <c r="B645" s="274"/>
      <c r="C645" s="274"/>
      <c r="D645" s="274"/>
      <c r="E645" s="274"/>
      <c r="F645" s="274"/>
      <c r="G645" s="274"/>
      <c r="H645" s="274"/>
      <c r="I645" s="274"/>
      <c r="J645" s="274"/>
      <c r="K645" s="446"/>
    </row>
    <row r="646" spans="1:11" x14ac:dyDescent="0.2">
      <c r="A646" s="274"/>
      <c r="B646" s="274"/>
      <c r="C646" s="274"/>
      <c r="D646" s="274"/>
      <c r="E646" s="274"/>
      <c r="F646" s="274"/>
      <c r="G646" s="274"/>
      <c r="H646" s="274"/>
      <c r="I646" s="274"/>
      <c r="J646" s="274"/>
      <c r="K646" s="446"/>
    </row>
    <row r="647" spans="1:11" x14ac:dyDescent="0.2">
      <c r="A647" s="274"/>
      <c r="B647" s="274"/>
      <c r="C647" s="274"/>
      <c r="D647" s="274"/>
      <c r="E647" s="274"/>
      <c r="F647" s="274"/>
      <c r="G647" s="274"/>
      <c r="H647" s="274"/>
      <c r="I647" s="274"/>
      <c r="J647" s="274"/>
      <c r="K647" s="446"/>
    </row>
    <row r="648" spans="1:11" x14ac:dyDescent="0.2">
      <c r="A648" s="274"/>
      <c r="B648" s="274"/>
      <c r="C648" s="274"/>
      <c r="D648" s="274"/>
      <c r="E648" s="274"/>
      <c r="F648" s="274"/>
      <c r="G648" s="274"/>
      <c r="H648" s="274"/>
      <c r="I648" s="274"/>
      <c r="J648" s="274"/>
      <c r="K648" s="446"/>
    </row>
    <row r="649" spans="1:11" x14ac:dyDescent="0.2">
      <c r="A649" s="274"/>
      <c r="B649" s="274"/>
      <c r="C649" s="274"/>
      <c r="D649" s="274"/>
      <c r="E649" s="274"/>
      <c r="F649" s="274"/>
      <c r="G649" s="274"/>
      <c r="H649" s="274"/>
      <c r="I649" s="274"/>
      <c r="J649" s="274"/>
      <c r="K649" s="446"/>
    </row>
    <row r="650" spans="1:11" x14ac:dyDescent="0.2">
      <c r="A650" s="274"/>
      <c r="B650" s="274"/>
      <c r="C650" s="274"/>
      <c r="D650" s="274"/>
      <c r="E650" s="274"/>
      <c r="F650" s="274"/>
      <c r="G650" s="274"/>
      <c r="H650" s="274"/>
      <c r="I650" s="274"/>
      <c r="J650" s="274"/>
      <c r="K650" s="446"/>
    </row>
    <row r="651" spans="1:11" x14ac:dyDescent="0.2">
      <c r="A651" s="274"/>
      <c r="B651" s="274"/>
      <c r="C651" s="274"/>
      <c r="D651" s="274"/>
      <c r="E651" s="274"/>
      <c r="F651" s="274"/>
      <c r="G651" s="274"/>
      <c r="H651" s="274"/>
      <c r="I651" s="274"/>
      <c r="J651" s="274"/>
      <c r="K651" s="446"/>
    </row>
    <row r="652" spans="1:11" x14ac:dyDescent="0.2">
      <c r="A652" s="274"/>
      <c r="B652" s="274"/>
      <c r="C652" s="274"/>
      <c r="D652" s="274"/>
      <c r="E652" s="274"/>
      <c r="F652" s="274"/>
      <c r="G652" s="274"/>
      <c r="H652" s="274"/>
      <c r="I652" s="274"/>
      <c r="J652" s="274"/>
      <c r="K652" s="446"/>
    </row>
    <row r="653" spans="1:11" x14ac:dyDescent="0.2">
      <c r="A653" s="274"/>
      <c r="B653" s="274"/>
      <c r="C653" s="274"/>
      <c r="D653" s="274"/>
      <c r="E653" s="274"/>
      <c r="F653" s="274"/>
      <c r="G653" s="274"/>
      <c r="H653" s="274"/>
      <c r="I653" s="274"/>
      <c r="J653" s="274"/>
      <c r="K653" s="446"/>
    </row>
    <row r="654" spans="1:11" x14ac:dyDescent="0.2">
      <c r="A654" s="274"/>
      <c r="B654" s="274"/>
      <c r="C654" s="274"/>
      <c r="D654" s="274"/>
      <c r="E654" s="274"/>
      <c r="F654" s="274"/>
      <c r="G654" s="274"/>
      <c r="H654" s="274"/>
      <c r="I654" s="274"/>
      <c r="J654" s="274"/>
      <c r="K654" s="446"/>
    </row>
    <row r="655" spans="1:11" x14ac:dyDescent="0.2">
      <c r="A655" s="274"/>
      <c r="B655" s="274"/>
      <c r="C655" s="274"/>
      <c r="D655" s="274"/>
      <c r="E655" s="274"/>
      <c r="F655" s="274"/>
      <c r="G655" s="274"/>
      <c r="H655" s="274"/>
      <c r="I655" s="274"/>
      <c r="J655" s="274"/>
      <c r="K655" s="446"/>
    </row>
    <row r="656" spans="1:11" x14ac:dyDescent="0.2">
      <c r="A656" s="274"/>
      <c r="B656" s="274"/>
      <c r="C656" s="274"/>
      <c r="D656" s="274"/>
      <c r="E656" s="274"/>
      <c r="F656" s="274"/>
      <c r="G656" s="274"/>
      <c r="H656" s="274"/>
      <c r="I656" s="274"/>
      <c r="J656" s="274"/>
      <c r="K656" s="446"/>
    </row>
    <row r="657" spans="1:11" x14ac:dyDescent="0.2">
      <c r="A657" s="274"/>
      <c r="B657" s="274"/>
      <c r="C657" s="274"/>
      <c r="D657" s="274"/>
      <c r="E657" s="274"/>
      <c r="F657" s="274"/>
      <c r="G657" s="274"/>
      <c r="H657" s="274"/>
      <c r="I657" s="274"/>
      <c r="J657" s="274"/>
      <c r="K657" s="446"/>
    </row>
    <row r="658" spans="1:11" x14ac:dyDescent="0.2">
      <c r="A658" s="274"/>
      <c r="B658" s="274"/>
      <c r="C658" s="274"/>
      <c r="D658" s="274"/>
      <c r="E658" s="274"/>
      <c r="F658" s="274"/>
      <c r="G658" s="274"/>
      <c r="H658" s="274"/>
      <c r="I658" s="274"/>
      <c r="J658" s="274"/>
      <c r="K658" s="446"/>
    </row>
    <row r="659" spans="1:11" x14ac:dyDescent="0.2">
      <c r="A659" s="274"/>
      <c r="B659" s="274"/>
      <c r="C659" s="274"/>
      <c r="D659" s="274"/>
      <c r="E659" s="274"/>
      <c r="F659" s="274"/>
      <c r="G659" s="274"/>
      <c r="H659" s="274"/>
      <c r="I659" s="274"/>
      <c r="J659" s="274"/>
      <c r="K659" s="446"/>
    </row>
    <row r="660" spans="1:11" x14ac:dyDescent="0.2">
      <c r="A660" s="274"/>
      <c r="B660" s="274"/>
      <c r="C660" s="274"/>
      <c r="D660" s="274"/>
      <c r="E660" s="274"/>
      <c r="F660" s="274"/>
      <c r="G660" s="274"/>
      <c r="H660" s="274"/>
      <c r="I660" s="274"/>
      <c r="J660" s="274"/>
      <c r="K660" s="446"/>
    </row>
    <row r="661" spans="1:11" x14ac:dyDescent="0.2">
      <c r="A661" s="274"/>
      <c r="B661" s="274"/>
      <c r="C661" s="274"/>
      <c r="D661" s="274"/>
      <c r="E661" s="274"/>
      <c r="F661" s="274"/>
      <c r="G661" s="274"/>
      <c r="H661" s="274"/>
      <c r="I661" s="274"/>
      <c r="J661" s="274"/>
      <c r="K661" s="446"/>
    </row>
    <row r="662" spans="1:11" x14ac:dyDescent="0.2">
      <c r="A662" s="274"/>
      <c r="B662" s="274"/>
      <c r="C662" s="274"/>
      <c r="D662" s="274"/>
      <c r="E662" s="274"/>
      <c r="F662" s="274"/>
      <c r="G662" s="274"/>
      <c r="H662" s="274"/>
      <c r="I662" s="274"/>
      <c r="J662" s="274"/>
      <c r="K662" s="446"/>
    </row>
    <row r="663" spans="1:11" x14ac:dyDescent="0.2">
      <c r="A663" s="274"/>
      <c r="B663" s="274"/>
      <c r="C663" s="274"/>
      <c r="D663" s="274"/>
      <c r="E663" s="274"/>
      <c r="F663" s="274"/>
      <c r="G663" s="274"/>
      <c r="H663" s="274"/>
      <c r="I663" s="274"/>
      <c r="J663" s="274"/>
      <c r="K663" s="446"/>
    </row>
    <row r="664" spans="1:11" x14ac:dyDescent="0.2">
      <c r="A664" s="274"/>
      <c r="B664" s="274"/>
      <c r="C664" s="274"/>
      <c r="D664" s="274"/>
      <c r="E664" s="274"/>
      <c r="F664" s="274"/>
      <c r="G664" s="274"/>
      <c r="H664" s="274"/>
      <c r="I664" s="274"/>
      <c r="J664" s="274"/>
      <c r="K664" s="446"/>
    </row>
    <row r="665" spans="1:11" x14ac:dyDescent="0.2">
      <c r="A665" s="274"/>
      <c r="B665" s="274"/>
      <c r="C665" s="274"/>
      <c r="D665" s="274"/>
      <c r="E665" s="274"/>
      <c r="F665" s="274"/>
      <c r="G665" s="274"/>
      <c r="H665" s="274"/>
      <c r="I665" s="274"/>
      <c r="J665" s="274"/>
      <c r="K665" s="446"/>
    </row>
    <row r="666" spans="1:11" x14ac:dyDescent="0.2">
      <c r="A666" s="274"/>
      <c r="B666" s="274"/>
      <c r="C666" s="274"/>
      <c r="D666" s="274"/>
      <c r="E666" s="274"/>
      <c r="F666" s="274"/>
      <c r="G666" s="274"/>
      <c r="H666" s="274"/>
      <c r="I666" s="274"/>
      <c r="J666" s="274"/>
      <c r="K666" s="446"/>
    </row>
    <row r="667" spans="1:11" x14ac:dyDescent="0.2">
      <c r="A667" s="274"/>
      <c r="B667" s="274"/>
      <c r="C667" s="274"/>
      <c r="D667" s="274"/>
      <c r="E667" s="274"/>
      <c r="F667" s="274"/>
      <c r="G667" s="274"/>
      <c r="H667" s="274"/>
      <c r="I667" s="274"/>
      <c r="J667" s="274"/>
      <c r="K667" s="446"/>
    </row>
    <row r="668" spans="1:11" x14ac:dyDescent="0.2">
      <c r="A668" s="274"/>
      <c r="B668" s="274"/>
      <c r="C668" s="274"/>
      <c r="D668" s="274"/>
      <c r="E668" s="274"/>
      <c r="F668" s="274"/>
      <c r="G668" s="274"/>
      <c r="H668" s="274"/>
      <c r="I668" s="274"/>
      <c r="J668" s="274"/>
      <c r="K668" s="446"/>
    </row>
    <row r="669" spans="1:11" x14ac:dyDescent="0.2">
      <c r="A669" s="274"/>
      <c r="B669" s="274"/>
      <c r="C669" s="274"/>
      <c r="D669" s="274"/>
      <c r="E669" s="274"/>
      <c r="F669" s="274"/>
      <c r="G669" s="274"/>
      <c r="H669" s="274"/>
      <c r="I669" s="274"/>
      <c r="J669" s="274"/>
      <c r="K669" s="446"/>
    </row>
    <row r="670" spans="1:11" x14ac:dyDescent="0.2">
      <c r="A670" s="274"/>
      <c r="B670" s="274"/>
      <c r="C670" s="274"/>
      <c r="D670" s="274"/>
      <c r="E670" s="274"/>
      <c r="F670" s="274"/>
      <c r="G670" s="274"/>
      <c r="H670" s="274"/>
      <c r="I670" s="274"/>
      <c r="J670" s="274"/>
      <c r="K670" s="446"/>
    </row>
    <row r="671" spans="1:11" x14ac:dyDescent="0.2">
      <c r="A671" s="274"/>
      <c r="B671" s="274"/>
      <c r="C671" s="274"/>
      <c r="D671" s="274"/>
      <c r="E671" s="274"/>
      <c r="F671" s="274"/>
      <c r="G671" s="274"/>
      <c r="H671" s="274"/>
      <c r="I671" s="274"/>
      <c r="J671" s="274"/>
      <c r="K671" s="446"/>
    </row>
    <row r="672" spans="1:11" x14ac:dyDescent="0.2">
      <c r="A672" s="274"/>
      <c r="B672" s="274"/>
      <c r="C672" s="274"/>
      <c r="D672" s="274"/>
      <c r="E672" s="274"/>
      <c r="F672" s="274"/>
      <c r="G672" s="274"/>
      <c r="H672" s="274"/>
      <c r="I672" s="274"/>
      <c r="J672" s="274"/>
      <c r="K672" s="446"/>
    </row>
    <row r="673" spans="1:11" x14ac:dyDescent="0.2">
      <c r="A673" s="274"/>
      <c r="B673" s="274"/>
      <c r="C673" s="274"/>
      <c r="D673" s="274"/>
      <c r="E673" s="274"/>
      <c r="F673" s="274"/>
      <c r="G673" s="274"/>
      <c r="H673" s="274"/>
      <c r="I673" s="274"/>
      <c r="J673" s="274"/>
      <c r="K673" s="446"/>
    </row>
    <row r="674" spans="1:11" x14ac:dyDescent="0.2">
      <c r="A674" s="274"/>
      <c r="B674" s="274"/>
      <c r="C674" s="274"/>
      <c r="D674" s="274"/>
      <c r="E674" s="274"/>
      <c r="F674" s="274"/>
      <c r="G674" s="274"/>
      <c r="H674" s="274"/>
      <c r="I674" s="274"/>
      <c r="J674" s="274"/>
      <c r="K674" s="446"/>
    </row>
    <row r="675" spans="1:11" x14ac:dyDescent="0.2">
      <c r="A675" s="274"/>
      <c r="B675" s="274"/>
      <c r="C675" s="274"/>
      <c r="D675" s="274"/>
      <c r="E675" s="274"/>
      <c r="F675" s="274"/>
      <c r="G675" s="274"/>
      <c r="H675" s="274"/>
      <c r="I675" s="274"/>
      <c r="J675" s="274"/>
      <c r="K675" s="446"/>
    </row>
    <row r="676" spans="1:11" x14ac:dyDescent="0.2">
      <c r="A676" s="274"/>
      <c r="B676" s="274"/>
      <c r="C676" s="274"/>
      <c r="D676" s="274"/>
      <c r="E676" s="274"/>
      <c r="F676" s="274"/>
      <c r="G676" s="274"/>
      <c r="H676" s="274"/>
      <c r="I676" s="274"/>
      <c r="J676" s="274"/>
      <c r="K676" s="446"/>
    </row>
    <row r="677" spans="1:11" x14ac:dyDescent="0.2">
      <c r="A677" s="274"/>
      <c r="B677" s="274"/>
      <c r="C677" s="274"/>
      <c r="D677" s="274"/>
      <c r="E677" s="274"/>
      <c r="F677" s="274"/>
      <c r="G677" s="274"/>
      <c r="H677" s="274"/>
      <c r="I677" s="274"/>
      <c r="J677" s="274"/>
      <c r="K677" s="446"/>
    </row>
    <row r="678" spans="1:11" x14ac:dyDescent="0.2">
      <c r="A678" s="274"/>
      <c r="B678" s="274"/>
      <c r="C678" s="274"/>
      <c r="D678" s="274"/>
      <c r="E678" s="274"/>
      <c r="F678" s="274"/>
      <c r="G678" s="274"/>
      <c r="H678" s="274"/>
      <c r="I678" s="274"/>
      <c r="J678" s="274"/>
      <c r="K678" s="446"/>
    </row>
    <row r="679" spans="1:11" x14ac:dyDescent="0.2">
      <c r="A679" s="274"/>
      <c r="B679" s="274"/>
      <c r="C679" s="274"/>
      <c r="D679" s="274"/>
      <c r="E679" s="274"/>
      <c r="F679" s="274"/>
      <c r="G679" s="274"/>
      <c r="H679" s="274"/>
      <c r="I679" s="274"/>
      <c r="J679" s="274"/>
      <c r="K679" s="446"/>
    </row>
    <row r="680" spans="1:11" x14ac:dyDescent="0.2">
      <c r="A680" s="274"/>
      <c r="B680" s="274"/>
      <c r="C680" s="274"/>
      <c r="D680" s="274"/>
      <c r="E680" s="274"/>
      <c r="F680" s="274"/>
      <c r="G680" s="274"/>
      <c r="H680" s="274"/>
      <c r="I680" s="274"/>
      <c r="J680" s="274"/>
      <c r="K680" s="446"/>
    </row>
    <row r="681" spans="1:11" x14ac:dyDescent="0.2">
      <c r="A681" s="274"/>
      <c r="B681" s="274"/>
      <c r="C681" s="274"/>
      <c r="D681" s="274"/>
      <c r="E681" s="274"/>
      <c r="F681" s="274"/>
      <c r="G681" s="274"/>
      <c r="H681" s="274"/>
      <c r="I681" s="274"/>
      <c r="J681" s="274"/>
      <c r="K681" s="446"/>
    </row>
    <row r="682" spans="1:11" x14ac:dyDescent="0.2">
      <c r="A682" s="274"/>
      <c r="B682" s="274"/>
      <c r="C682" s="274"/>
      <c r="D682" s="274"/>
      <c r="E682" s="274"/>
      <c r="F682" s="274"/>
      <c r="G682" s="274"/>
      <c r="H682" s="274"/>
      <c r="I682" s="274"/>
      <c r="J682" s="274"/>
      <c r="K682" s="446"/>
    </row>
    <row r="683" spans="1:11" x14ac:dyDescent="0.2">
      <c r="A683" s="274"/>
      <c r="B683" s="274"/>
      <c r="C683" s="274"/>
      <c r="D683" s="274"/>
      <c r="E683" s="274"/>
      <c r="F683" s="274"/>
      <c r="G683" s="274"/>
      <c r="H683" s="274"/>
      <c r="I683" s="274"/>
      <c r="J683" s="274"/>
      <c r="K683" s="446"/>
    </row>
    <row r="684" spans="1:11" x14ac:dyDescent="0.2">
      <c r="A684" s="274"/>
      <c r="B684" s="274"/>
      <c r="C684" s="274"/>
      <c r="D684" s="274"/>
      <c r="E684" s="274"/>
      <c r="F684" s="274"/>
      <c r="G684" s="274"/>
      <c r="H684" s="274"/>
      <c r="I684" s="274"/>
      <c r="J684" s="274"/>
      <c r="K684" s="446"/>
    </row>
    <row r="685" spans="1:11" x14ac:dyDescent="0.2">
      <c r="A685" s="274"/>
      <c r="B685" s="274"/>
      <c r="C685" s="274"/>
      <c r="D685" s="274"/>
      <c r="E685" s="274"/>
      <c r="F685" s="274"/>
      <c r="G685" s="274"/>
      <c r="H685" s="274"/>
      <c r="I685" s="274"/>
      <c r="J685" s="274"/>
      <c r="K685" s="446"/>
    </row>
    <row r="686" spans="1:11" x14ac:dyDescent="0.2">
      <c r="A686" s="274"/>
      <c r="B686" s="274"/>
      <c r="C686" s="274"/>
      <c r="D686" s="274"/>
      <c r="E686" s="274"/>
      <c r="F686" s="274"/>
      <c r="G686" s="274"/>
      <c r="H686" s="274"/>
      <c r="I686" s="274"/>
      <c r="J686" s="274"/>
      <c r="K686" s="446"/>
    </row>
    <row r="687" spans="1:11" x14ac:dyDescent="0.2">
      <c r="A687" s="274"/>
      <c r="B687" s="274"/>
      <c r="C687" s="274"/>
      <c r="D687" s="274"/>
      <c r="E687" s="274"/>
      <c r="F687" s="274"/>
      <c r="G687" s="274"/>
      <c r="H687" s="274"/>
      <c r="I687" s="274"/>
      <c r="J687" s="274"/>
      <c r="K687" s="446"/>
    </row>
    <row r="688" spans="1:11" x14ac:dyDescent="0.2">
      <c r="A688" s="274"/>
      <c r="B688" s="274"/>
      <c r="C688" s="274"/>
      <c r="D688" s="274"/>
      <c r="E688" s="274"/>
      <c r="F688" s="274"/>
      <c r="G688" s="274"/>
      <c r="H688" s="274"/>
      <c r="I688" s="274"/>
      <c r="J688" s="274"/>
      <c r="K688" s="446"/>
    </row>
    <row r="689" spans="1:11" x14ac:dyDescent="0.2">
      <c r="A689" s="274"/>
      <c r="B689" s="274"/>
      <c r="C689" s="274"/>
      <c r="D689" s="274"/>
      <c r="E689" s="274"/>
      <c r="F689" s="274"/>
      <c r="G689" s="274"/>
      <c r="H689" s="274"/>
      <c r="I689" s="274"/>
      <c r="J689" s="274"/>
      <c r="K689" s="446"/>
    </row>
    <row r="690" spans="1:11" x14ac:dyDescent="0.2">
      <c r="A690" s="274"/>
      <c r="B690" s="274"/>
      <c r="C690" s="274"/>
      <c r="D690" s="274"/>
      <c r="E690" s="274"/>
      <c r="F690" s="274"/>
      <c r="G690" s="274"/>
      <c r="H690" s="274"/>
      <c r="I690" s="274"/>
      <c r="J690" s="274"/>
      <c r="K690" s="446"/>
    </row>
  </sheetData>
  <mergeCells count="7">
    <mergeCell ref="A49:B49"/>
    <mergeCell ref="D1:E1"/>
    <mergeCell ref="A2:E2"/>
    <mergeCell ref="A3:F3"/>
    <mergeCell ref="A6:A7"/>
    <mergeCell ref="B6:D6"/>
    <mergeCell ref="E6:E14"/>
  </mergeCells>
  <printOptions horizontalCentered="1" verticalCentered="1"/>
  <pageMargins left="0.19685039370078741" right="0.19685039370078741" top="0.59055118110236227" bottom="0.47244094488188981" header="0" footer="0.15748031496062992"/>
  <pageSetup paperSize="9" scale="83" firstPageNumber="0" orientation="portrait" horizontalDpi="300" verticalDpi="300" r:id="rId1"/>
  <headerFooter alignWithMargins="0">
    <oddHeader>&amp;C
Dunaharaszti Város Önkormányzat 
2022. évi zárszámadás&amp;R
&amp;A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21</vt:i4>
      </vt:variant>
    </vt:vector>
  </HeadingPairs>
  <TitlesOfParts>
    <vt:vector size="53" baseType="lpstr">
      <vt:lpstr>II. előlap</vt:lpstr>
      <vt:lpstr>13.a.sz.m.Maradvány - int</vt:lpstr>
      <vt:lpstr>13.b.sz.m.Maradványkim.-Önk</vt:lpstr>
      <vt:lpstr>13.c.sz.m.Kötött maradvány</vt:lpstr>
      <vt:lpstr>13.d.sz.m.Szabad maradvány</vt:lpstr>
      <vt:lpstr>1.sz. tájék.Részesedések</vt:lpstr>
      <vt:lpstr>2.sz.tájék Vagyonkimutatás</vt:lpstr>
      <vt:lpstr>3.sz.tájék.táb. Többéves</vt:lpstr>
      <vt:lpstr>4.sz.tájék.Adósságszolgálat</vt:lpstr>
      <vt:lpstr>5.sz.tájék. Pénzeszközök vált</vt:lpstr>
      <vt:lpstr>6.sz.tájék. Mérleg</vt:lpstr>
      <vt:lpstr>7.sz.tájék. Eredménykimutatás</vt:lpstr>
      <vt:lpstr>8.sz.tájék. Mérlegszerű</vt:lpstr>
      <vt:lpstr>9.sz.tájék.tábla Hitelképesség </vt:lpstr>
      <vt:lpstr>10.sz.tájék.tábla Közvetett tám</vt:lpstr>
      <vt:lpstr>1.sz.függ.Orvosi rendelő</vt:lpstr>
      <vt:lpstr>2.sz.függ.A3 csatorna</vt:lpstr>
      <vt:lpstr>3. sz. függ. Energetika</vt:lpstr>
      <vt:lpstr>4. sz. függ. Bölcsőde új tagint</vt:lpstr>
      <vt:lpstr>5. sz. függNMI Művház tetőfelúj</vt:lpstr>
      <vt:lpstr>6.sz.függ.BezerédiSportp,tanö</vt:lpstr>
      <vt:lpstr>7. függ.GyermekorvRend tető</vt:lpstr>
      <vt:lpstr>8.sz.függ Bölcsőde vizesblokk</vt:lpstr>
      <vt:lpstr>9.sz.fügDh.-Taksony kerékpársáv</vt:lpstr>
      <vt:lpstr>10.sz.függ Kult.bérfejl</vt:lpstr>
      <vt:lpstr>11. függ.Töltőállomás fennt.</vt:lpstr>
      <vt:lpstr>12.függ.Teniszpálya fenntartás</vt:lpstr>
      <vt:lpstr>13.függ Bölcsőde fenntartás</vt:lpstr>
      <vt:lpstr>14.függ A3 fenntartás</vt:lpstr>
      <vt:lpstr>15.függ Temető utca fenntart.</vt:lpstr>
      <vt:lpstr>16.függ SzázszorszépÓv. fennt.</vt:lpstr>
      <vt:lpstr>17.függ Energetika fennt.</vt:lpstr>
      <vt:lpstr>'2.sz.tájék Vagyonkimutatás'!Nyomtatási_cím</vt:lpstr>
      <vt:lpstr>'6.sz.tájék. Mérleg'!Nyomtatási_cím</vt:lpstr>
      <vt:lpstr>'9.sz.tájék.tábla Hitelképesség '!Nyomtatási_cím</vt:lpstr>
      <vt:lpstr>'1.sz. tájék.Részesedések'!Nyomtatási_terület</vt:lpstr>
      <vt:lpstr>'1.sz.függ.Orvosi rendelő'!Nyomtatási_terület</vt:lpstr>
      <vt:lpstr>'10.sz.függ Kult.bérfejl'!Nyomtatási_terület</vt:lpstr>
      <vt:lpstr>'10.sz.tájék.tábla Közvetett tám'!Nyomtatási_terület</vt:lpstr>
      <vt:lpstr>'13.b.sz.m.Maradványkim.-Önk'!Nyomtatási_terület</vt:lpstr>
      <vt:lpstr>'13.c.sz.m.Kötött maradvány'!Nyomtatási_terület</vt:lpstr>
      <vt:lpstr>'13.d.sz.m.Szabad maradvány'!Nyomtatási_terület</vt:lpstr>
      <vt:lpstr>'17.függ Energetika fennt.'!Nyomtatási_terület</vt:lpstr>
      <vt:lpstr>'2.sz.függ.A3 csatorna'!Nyomtatási_terület</vt:lpstr>
      <vt:lpstr>'2.sz.tájék Vagyonkimutatás'!Nyomtatási_terület</vt:lpstr>
      <vt:lpstr>'3. sz. függ. Energetika'!Nyomtatási_terület</vt:lpstr>
      <vt:lpstr>'3.sz.tájék.táb. Többéves'!Nyomtatási_terület</vt:lpstr>
      <vt:lpstr>'4. sz. függ. Bölcsőde új tagint'!Nyomtatási_terület</vt:lpstr>
      <vt:lpstr>'4.sz.tájék.Adósságszolgálat'!Nyomtatási_terület</vt:lpstr>
      <vt:lpstr>'5.sz.tájék. Pénzeszközök vált'!Nyomtatási_terület</vt:lpstr>
      <vt:lpstr>'8.sz.tájék. Mérlegszerű'!Nyomtatási_terület</vt:lpstr>
      <vt:lpstr>'9.sz.tájék.tábla Hitelképesség '!Nyomtatási_terület</vt:lpstr>
      <vt:lpstr>'II. előlap'!Nyomtatási_terület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gheni</dc:creator>
  <cp:lastModifiedBy>Gavaldiné Henriett</cp:lastModifiedBy>
  <cp:lastPrinted>2023-05-15T12:54:02Z</cp:lastPrinted>
  <dcterms:created xsi:type="dcterms:W3CDTF">2016-04-05T12:46:30Z</dcterms:created>
  <dcterms:modified xsi:type="dcterms:W3CDTF">2023-05-16T13:58:01Z</dcterms:modified>
</cp:coreProperties>
</file>