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server\Hivatal\Pénzügy\2022\Zárszámadás 2022\Testületi anyag\"/>
    </mc:Choice>
  </mc:AlternateContent>
  <xr:revisionPtr revIDLastSave="0" documentId="8_{D64A26D3-8D26-403B-9DEA-A2D3C1AA0657}" xr6:coauthVersionLast="47" xr6:coauthVersionMax="47" xr10:uidLastSave="{00000000-0000-0000-0000-000000000000}"/>
  <bookViews>
    <workbookView xWindow="-120" yWindow="-120" windowWidth="29040" windowHeight="15840" firstSheet="12" activeTab="12" xr2:uid="{00000000-000D-0000-FFFF-FFFF00000000}"/>
  </bookViews>
  <sheets>
    <sheet name="1.a sz. Önkormányzat 2022. " sheetId="23" r:id="rId1"/>
    <sheet name="1.b sz. Önkormányzat 2022." sheetId="105" r:id="rId2"/>
    <sheet name="2.1. sz. PMH" sheetId="34" r:id="rId3"/>
    <sheet name="2.2. sz. Hétszínvirág Óvoda" sheetId="37" r:id="rId4"/>
    <sheet name="2.3. sz. Mese Óvoda" sheetId="38" r:id="rId5"/>
    <sheet name="2.4. sz. Bölcsőde" sheetId="36" r:id="rId6"/>
    <sheet name="2.5. sz. Gyermekjóléti" sheetId="39" r:id="rId7"/>
    <sheet name="2.6 sz. Területi" sheetId="40" r:id="rId8"/>
    <sheet name="2.7. sz. Könyvtár" sheetId="35" r:id="rId9"/>
    <sheet name="2.8. sz. Műv.Ház" sheetId="73" r:id="rId10"/>
    <sheet name="2.9. sz. Szivárvány Ó." sheetId="74" r:id="rId11"/>
    <sheet name="2.10. sz. Intézmények összesen" sheetId="41" r:id="rId12"/>
    <sheet name="3. sz.Városi szintű összesen" sheetId="43" r:id="rId13"/>
    <sheet name="4.sz.Felhalm.c.pe.átadás" sheetId="26" r:id="rId14"/>
    <sheet name="5.sz.Műk.c.pe.átadás" sheetId="27" r:id="rId15"/>
    <sheet name="6.sz. Beruházások" sheetId="119" r:id="rId16"/>
    <sheet name="7. sz. Felújítások" sheetId="120" r:id="rId17"/>
    <sheet name="8.sz.Tartalékok" sheetId="25" r:id="rId18"/>
    <sheet name="9.sz. Szociális" sheetId="28" r:id="rId19"/>
    <sheet name="10.sz.Intézményfinanszírozás" sheetId="29" r:id="rId20"/>
    <sheet name="11.a.sz. Állami támogatás" sheetId="101" r:id="rId21"/>
    <sheet name="11.b.sz. Műk.célú tám.ÁHbelül" sheetId="118" r:id="rId22"/>
    <sheet name="12.sz.Felh.célú tám.ÁHbelül" sheetId="102" r:id="rId23"/>
    <sheet name="13.sz. Közhatalmi bevételek" sheetId="104" r:id="rId24"/>
    <sheet name="14.sz.Felhalmozási bev" sheetId="103" r:id="rId25"/>
    <sheet name="15.sz.mell. Létszámtábla" sheetId="100" r:id="rId26"/>
  </sheets>
  <externalReferences>
    <externalReference r:id="rId27"/>
    <externalReference r:id="rId28"/>
    <externalReference r:id="rId29"/>
  </externalReferences>
  <definedNames>
    <definedName name="felev" localSheetId="0">#REF!</definedName>
    <definedName name="felev" localSheetId="1">#REF!</definedName>
    <definedName name="felev" localSheetId="20">#REF!</definedName>
    <definedName name="felev" localSheetId="25">#REF!</definedName>
    <definedName name="felev" localSheetId="2">#REF!</definedName>
    <definedName name="felev" localSheetId="11">#REF!</definedName>
    <definedName name="felev" localSheetId="3">#REF!</definedName>
    <definedName name="felev" localSheetId="4">#REF!</definedName>
    <definedName name="felev" localSheetId="5">#REF!</definedName>
    <definedName name="felev" localSheetId="6">#REF!</definedName>
    <definedName name="felev" localSheetId="7">#REF!</definedName>
    <definedName name="felev" localSheetId="8">#REF!</definedName>
    <definedName name="felev" localSheetId="12">#REF!</definedName>
    <definedName name="felev" localSheetId="15">#REF!</definedName>
    <definedName name="felev">#REF!</definedName>
    <definedName name="funkcio" localSheetId="0">#REF!</definedName>
    <definedName name="funkcio" localSheetId="1">#REF!</definedName>
    <definedName name="funkcio" localSheetId="20">#REF!</definedName>
    <definedName name="funkcio" localSheetId="25">#REF!</definedName>
    <definedName name="funkcio" localSheetId="2">#REF!</definedName>
    <definedName name="funkcio" localSheetId="11">#REF!</definedName>
    <definedName name="funkcio" localSheetId="3">#REF!</definedName>
    <definedName name="funkcio" localSheetId="4">#REF!</definedName>
    <definedName name="funkcio" localSheetId="5">#REF!</definedName>
    <definedName name="funkcio" localSheetId="6">#REF!</definedName>
    <definedName name="funkcio" localSheetId="7">#REF!</definedName>
    <definedName name="funkcio" localSheetId="8">#REF!</definedName>
    <definedName name="funkcio" localSheetId="12">#REF!</definedName>
    <definedName name="funkcio" localSheetId="15">#REF!</definedName>
    <definedName name="funkcio">#REF!</definedName>
    <definedName name="hjkhjh" localSheetId="1">#REF!</definedName>
    <definedName name="hjkhjh" localSheetId="20">#REF!</definedName>
    <definedName name="hjkhjh" localSheetId="25">#REF!</definedName>
    <definedName name="hjkhjh">#REF!</definedName>
    <definedName name="igenyles_1">#REF!</definedName>
    <definedName name="Igenyles_elszamolas_tip" localSheetId="0">#REF!</definedName>
    <definedName name="Igenyles_elszamolas_tip" localSheetId="1">#REF!</definedName>
    <definedName name="Igenyles_elszamolas_tip" localSheetId="2">#REF!</definedName>
    <definedName name="Igenyles_elszamolas_tip" localSheetId="11">#REF!</definedName>
    <definedName name="Igenyles_elszamolas_tip" localSheetId="3">#REF!</definedName>
    <definedName name="Igenyles_elszamolas_tip" localSheetId="4">#REF!</definedName>
    <definedName name="Igenyles_elszamolas_tip" localSheetId="5">#REF!</definedName>
    <definedName name="Igenyles_elszamolas_tip" localSheetId="6">#REF!</definedName>
    <definedName name="Igenyles_elszamolas_tip" localSheetId="7">#REF!</definedName>
    <definedName name="Igenyles_elszamolas_tip" localSheetId="8">#REF!</definedName>
    <definedName name="Igenyles_elszamolas_tip" localSheetId="12">#REF!</definedName>
    <definedName name="Igenyles_elszamolas_tip" localSheetId="15">#REF!</definedName>
    <definedName name="Igenyles_elszamolas_tip">#REF!</definedName>
    <definedName name="iiiiii" localSheetId="1">#REF!</definedName>
    <definedName name="iiiiii">#REF!</definedName>
    <definedName name="jjj" localSheetId="1">#REF!</definedName>
    <definedName name="jjj">#REF!</definedName>
    <definedName name="kkkk" localSheetId="1">#REF!</definedName>
    <definedName name="kkkk">#REF!</definedName>
    <definedName name="koltseg_k" localSheetId="0">#REF!</definedName>
    <definedName name="koltseg_k" localSheetId="1">#REF!</definedName>
    <definedName name="koltseg_k" localSheetId="2">#REF!</definedName>
    <definedName name="koltseg_k" localSheetId="11">#REF!</definedName>
    <definedName name="koltseg_k" localSheetId="3">#REF!</definedName>
    <definedName name="koltseg_k" localSheetId="4">#REF!</definedName>
    <definedName name="koltseg_k" localSheetId="5">#REF!</definedName>
    <definedName name="koltseg_k" localSheetId="6">#REF!</definedName>
    <definedName name="koltseg_k" localSheetId="7">#REF!</definedName>
    <definedName name="koltseg_k" localSheetId="8">#REF!</definedName>
    <definedName name="koltseg_k" localSheetId="12">#REF!</definedName>
    <definedName name="koltseg_k" localSheetId="15">#REF!</definedName>
    <definedName name="koltseg_k">#REF!</definedName>
    <definedName name="Koltseg_kat" localSheetId="0">#REF!</definedName>
    <definedName name="Koltseg_kat" localSheetId="1">#REF!</definedName>
    <definedName name="Koltseg_kat" localSheetId="2">#REF!</definedName>
    <definedName name="Koltseg_kat" localSheetId="11">#REF!</definedName>
    <definedName name="Koltseg_kat" localSheetId="3">#REF!</definedName>
    <definedName name="Koltseg_kat" localSheetId="4">#REF!</definedName>
    <definedName name="Koltseg_kat" localSheetId="5">#REF!</definedName>
    <definedName name="Koltseg_kat" localSheetId="6">#REF!</definedName>
    <definedName name="Koltseg_kat" localSheetId="7">#REF!</definedName>
    <definedName name="Koltseg_kat" localSheetId="8">#REF!</definedName>
    <definedName name="Koltseg_kat" localSheetId="12">#REF!</definedName>
    <definedName name="Koltseg_kat" localSheetId="15">#REF!</definedName>
    <definedName name="Koltseg_kat">#REF!</definedName>
    <definedName name="nem">#REF!</definedName>
    <definedName name="_xlnm.Print_Titles" localSheetId="0">'1.a sz. Önkormányzat 2022. '!$A:$C,'1.a sz. Önkormányzat 2022. '!$1:$6</definedName>
    <definedName name="_xlnm.Print_Titles" localSheetId="1">'1.b sz. Önkormányzat 2022.'!$A:$C,'1.b sz. Önkormányzat 2022.'!$1:$6</definedName>
    <definedName name="_xlnm.Print_Titles" localSheetId="21">'11.b.sz. Műk.célú tám.ÁHbelül'!$A:$D</definedName>
    <definedName name="_xlnm.Print_Titles" localSheetId="22">'12.sz.Felh.célú tám.ÁHbelül'!$A:$D</definedName>
    <definedName name="_xlnm.Print_Titles" localSheetId="23">'13.sz. Közhatalmi bevételek'!$A:$D</definedName>
    <definedName name="_xlnm.Print_Titles" localSheetId="25">'15.sz.mell. Létszámtábla'!$2:$2</definedName>
    <definedName name="_xlnm.Print_Titles" localSheetId="2">'2.1. sz. PMH'!$A:$C</definedName>
    <definedName name="_xlnm.Print_Titles" localSheetId="11">'2.10. sz. Intézmények összesen'!$A:$C</definedName>
    <definedName name="_xlnm.Print_Titles" localSheetId="3">'2.2. sz. Hétszínvirág Óvoda'!$A:$C</definedName>
    <definedName name="_xlnm.Print_Titles" localSheetId="4">'2.3. sz. Mese Óvoda'!$A:$C</definedName>
    <definedName name="_xlnm.Print_Titles" localSheetId="5">'2.4. sz. Bölcsőde'!$A:$C</definedName>
    <definedName name="_xlnm.Print_Titles" localSheetId="6">'2.5. sz. Gyermekjóléti'!$A:$C</definedName>
    <definedName name="_xlnm.Print_Titles" localSheetId="7">'2.6 sz. Területi'!$A:$C</definedName>
    <definedName name="_xlnm.Print_Titles" localSheetId="8">'2.7. sz. Könyvtár'!$A:$C</definedName>
    <definedName name="_xlnm.Print_Titles" localSheetId="9">'2.8. sz. Műv.Ház'!$A:$C</definedName>
    <definedName name="_xlnm.Print_Titles" localSheetId="10">'2.9. sz. Szivárvány Ó.'!$A:$C</definedName>
    <definedName name="_xlnm.Print_Titles" localSheetId="12">'3. sz.Városi szintű összesen'!$A:$C,'3. sz.Városi szintű összesen'!$1:$6</definedName>
    <definedName name="_xlnm.Print_Titles" localSheetId="13">'4.sz.Felhalm.c.pe.átadás'!$A:$D</definedName>
    <definedName name="_xlnm.Print_Titles" localSheetId="14">'5.sz.Műk.c.pe.átadás'!$A:$D</definedName>
    <definedName name="_xlnm.Print_Titles" localSheetId="15">'6.sz. Beruházások'!$A:$D,'6.sz. Beruházások'!$1:$6</definedName>
    <definedName name="_xlnm.Print_Titles" localSheetId="16">'7. sz. Felújítások'!$A:$D,'7. sz. Felújítások'!$4:$6</definedName>
    <definedName name="_xlnm.Print_Titles" localSheetId="17">'8.sz.Tartalékok'!$1:$4</definedName>
    <definedName name="_xlnm.Print_Area" localSheetId="0">'1.a sz. Önkormányzat 2022. '!$A$1:$MX$50</definedName>
    <definedName name="_xlnm.Print_Area" localSheetId="1">'1.b sz. Önkormányzat 2022.'!$A$1:$DY$50</definedName>
    <definedName name="_xlnm.Print_Area" localSheetId="19">'10.sz.Intézményfinanszírozás'!$A$1:$J$16</definedName>
    <definedName name="_xlnm.Print_Area" localSheetId="20">'11.a.sz. Állami támogatás'!$A$1:$F$99</definedName>
    <definedName name="_xlnm.Print_Area" localSheetId="21">'11.b.sz. Műk.célú tám.ÁHbelül'!$A$1:$AQ$28</definedName>
    <definedName name="_xlnm.Print_Area" localSheetId="22">'12.sz.Felh.célú tám.ÁHbelül'!$A$1:$O$16</definedName>
    <definedName name="_xlnm.Print_Area" localSheetId="23">'13.sz. Közhatalmi bevételek'!$A$1:$Y$19</definedName>
    <definedName name="_xlnm.Print_Area" localSheetId="24">'14.sz.Felhalmozási bev'!$A$1:$V$23</definedName>
    <definedName name="_xlnm.Print_Area" localSheetId="25">'15.sz.mell. Létszámtábla'!$A$1:$J$51</definedName>
    <definedName name="_xlnm.Print_Area" localSheetId="2">'2.1. sz. PMH'!$A$1:$AP$51</definedName>
    <definedName name="_xlnm.Print_Area" localSheetId="11">'2.10. sz. Intézmények összesen'!$A$1:$O$51</definedName>
    <definedName name="_xlnm.Print_Area" localSheetId="3">'2.2. sz. Hétszínvirág Óvoda'!$A$1:$AD$51</definedName>
    <definedName name="_xlnm.Print_Area" localSheetId="4">'2.3. sz. Mese Óvoda'!$A$1:$X$51</definedName>
    <definedName name="_xlnm.Print_Area" localSheetId="5">'2.4. sz. Bölcsőde'!$A$1:$U$51</definedName>
    <definedName name="_xlnm.Print_Area" localSheetId="6">'2.5. sz. Gyermekjóléti'!$A$1:$AA$51</definedName>
    <definedName name="_xlnm.Print_Area" localSheetId="7">'2.6 sz. Területi'!$A$1:$BK$51</definedName>
    <definedName name="_xlnm.Print_Area" localSheetId="8">'2.7. sz. Könyvtár'!$A$1:$AD$51</definedName>
    <definedName name="_xlnm.Print_Area" localSheetId="9">'2.8. sz. Műv.Ház'!$A$1:$AD$51</definedName>
    <definedName name="_xlnm.Print_Area" localSheetId="10">'2.9. sz. Szivárvány Ó.'!$A$1:$AA$51</definedName>
    <definedName name="_xlnm.Print_Area" localSheetId="12">'3. sz.Városi szintű összesen'!$A$1:$R$50</definedName>
    <definedName name="_xlnm.Print_Area" localSheetId="13">'4.sz.Felhalm.c.pe.átadás'!$A$1:$AK$26</definedName>
    <definedName name="_xlnm.Print_Area" localSheetId="14">'5.sz.Műk.c.pe.átadás'!$A$1:$Q$132</definedName>
    <definedName name="_xlnm.Print_Area" localSheetId="15">'6.sz. Beruházások'!$A$1:$AH$184</definedName>
    <definedName name="_xlnm.Print_Area" localSheetId="16">'7. sz. Felújítások'!$A$1:$Y$38</definedName>
    <definedName name="_xlnm.Print_Area" localSheetId="17">'8.sz.Tartalékok'!$A$1:$H$74</definedName>
    <definedName name="_xlnm.Print_Area" localSheetId="18">'9.sz. Szociális'!$A$1:$G$22</definedName>
    <definedName name="oooooooooooo" localSheetId="1">#REF!</definedName>
    <definedName name="oooooooooooo" localSheetId="20">#REF!</definedName>
    <definedName name="oooooooooooo" localSheetId="25">#REF!</definedName>
    <definedName name="oooooooooooo">#REF!</definedName>
    <definedName name="pppppp" localSheetId="1">#REF!</definedName>
    <definedName name="pppppp" localSheetId="20">#REF!</definedName>
    <definedName name="pppppp" localSheetId="25">#REF!</definedName>
    <definedName name="pppppp">#REF!</definedName>
    <definedName name="qqqqq" localSheetId="1">#REF!</definedName>
    <definedName name="qqqqq" localSheetId="20">#REF!</definedName>
    <definedName name="qqqqq" localSheetId="25">#REF!</definedName>
    <definedName name="qqqqq">#REF!</definedName>
    <definedName name="rrrrrrrrrrr" localSheetId="1">#REF!</definedName>
    <definedName name="rrrrrrrrrrr">#REF!</definedName>
    <definedName name="Szamviteli_kat" localSheetId="0">#REF!</definedName>
    <definedName name="Szamviteli_kat" localSheetId="1">#REF!</definedName>
    <definedName name="Szamviteli_kat" localSheetId="2">#REF!</definedName>
    <definedName name="Szamviteli_kat" localSheetId="11">#REF!</definedName>
    <definedName name="Szamviteli_kat" localSheetId="3">#REF!</definedName>
    <definedName name="Szamviteli_kat" localSheetId="4">#REF!</definedName>
    <definedName name="Szamviteli_kat" localSheetId="5">#REF!</definedName>
    <definedName name="Szamviteli_kat" localSheetId="6">#REF!</definedName>
    <definedName name="Szamviteli_kat" localSheetId="7">#REF!</definedName>
    <definedName name="Szamviteli_kat" localSheetId="8">#REF!</definedName>
    <definedName name="Szamviteli_kat" localSheetId="12">#REF!</definedName>
    <definedName name="Szamviteli_kat" localSheetId="15">#REF!</definedName>
    <definedName name="Szamviteli_kat">#REF!</definedName>
  </definedNames>
  <calcPr calcId="191029"/>
</workbook>
</file>

<file path=xl/calcChain.xml><?xml version="1.0" encoding="utf-8"?>
<calcChain xmlns="http://schemas.openxmlformats.org/spreadsheetml/2006/main">
  <c r="T13" i="120" l="1"/>
  <c r="T14" i="120"/>
  <c r="T15" i="120"/>
  <c r="T16" i="120"/>
  <c r="T17" i="120"/>
  <c r="T18" i="120"/>
  <c r="T19" i="120"/>
  <c r="T20" i="120"/>
  <c r="T21" i="120"/>
  <c r="T22" i="120"/>
  <c r="T23" i="120"/>
  <c r="T24" i="120"/>
  <c r="T25" i="120"/>
  <c r="T26" i="120"/>
  <c r="T27" i="120"/>
  <c r="T28" i="120"/>
  <c r="T29" i="120"/>
  <c r="T30" i="120"/>
  <c r="T31" i="120"/>
  <c r="T32" i="120"/>
  <c r="T33" i="120"/>
  <c r="T34" i="120"/>
  <c r="T35" i="120"/>
  <c r="T36" i="120"/>
  <c r="T37" i="120"/>
  <c r="T11" i="120"/>
  <c r="T12" i="120"/>
  <c r="T10" i="120"/>
  <c r="AC146" i="119"/>
  <c r="AC147" i="119"/>
  <c r="AC148" i="119"/>
  <c r="AC149" i="119"/>
  <c r="AC150" i="119"/>
  <c r="AC151" i="119"/>
  <c r="AC152" i="119"/>
  <c r="AC153" i="119"/>
  <c r="AC154" i="119"/>
  <c r="AC155" i="119"/>
  <c r="AC156" i="119"/>
  <c r="AC157" i="119"/>
  <c r="AC158" i="119"/>
  <c r="AC159" i="119"/>
  <c r="AC160" i="119"/>
  <c r="AC161" i="119"/>
  <c r="AC162" i="119"/>
  <c r="AC163" i="119"/>
  <c r="AC164" i="119"/>
  <c r="AC165" i="119"/>
  <c r="AC166" i="119"/>
  <c r="AC167" i="119"/>
  <c r="AC168" i="119"/>
  <c r="AC169" i="119"/>
  <c r="AC170" i="119"/>
  <c r="AC171" i="119"/>
  <c r="AC172" i="119"/>
  <c r="AC173" i="119"/>
  <c r="AC174" i="119"/>
  <c r="AC175" i="119"/>
  <c r="AC176" i="119"/>
  <c r="AC177" i="119"/>
  <c r="AC178" i="119"/>
  <c r="AC179" i="119"/>
  <c r="AC180" i="119"/>
  <c r="AC181" i="119"/>
  <c r="AC182" i="119"/>
  <c r="AC145" i="119"/>
  <c r="AC77" i="119"/>
  <c r="AC78" i="119"/>
  <c r="AC79" i="119"/>
  <c r="AC80" i="119"/>
  <c r="AC81" i="119"/>
  <c r="AC82" i="119"/>
  <c r="AC83" i="119"/>
  <c r="AC84" i="119"/>
  <c r="AC85" i="119"/>
  <c r="AC86" i="119"/>
  <c r="AC87" i="119"/>
  <c r="AC88" i="119"/>
  <c r="AC89" i="119"/>
  <c r="AC90" i="119"/>
  <c r="AC91" i="119"/>
  <c r="AC92" i="119"/>
  <c r="AC93" i="119"/>
  <c r="AC94" i="119"/>
  <c r="AC95" i="119"/>
  <c r="AC96" i="119"/>
  <c r="AC97" i="119"/>
  <c r="AC98" i="119"/>
  <c r="AC99" i="119"/>
  <c r="AC100" i="119"/>
  <c r="AC101" i="119"/>
  <c r="AC102" i="119"/>
  <c r="AC103" i="119"/>
  <c r="AC104" i="119"/>
  <c r="AC105" i="119"/>
  <c r="AC106" i="119"/>
  <c r="AC107" i="119"/>
  <c r="AC108" i="119"/>
  <c r="AC109" i="119"/>
  <c r="AC110" i="119"/>
  <c r="AC111" i="119"/>
  <c r="AC112" i="119"/>
  <c r="AC113" i="119"/>
  <c r="AC114" i="119"/>
  <c r="AC115" i="119"/>
  <c r="AC116" i="119"/>
  <c r="AC117" i="119"/>
  <c r="AC118" i="119"/>
  <c r="AC119" i="119"/>
  <c r="AC120" i="119"/>
  <c r="AC121" i="119"/>
  <c r="AC122" i="119"/>
  <c r="AC123" i="119"/>
  <c r="AC124" i="119"/>
  <c r="AC125" i="119"/>
  <c r="AC126" i="119"/>
  <c r="AC127" i="119"/>
  <c r="AC128" i="119"/>
  <c r="AC129" i="119"/>
  <c r="AC130" i="119"/>
  <c r="AC131" i="119"/>
  <c r="AC132" i="119"/>
  <c r="AC133" i="119"/>
  <c r="AC134" i="119"/>
  <c r="AC135" i="119"/>
  <c r="AC136" i="119"/>
  <c r="AC137" i="119"/>
  <c r="AC138" i="119"/>
  <c r="AC139" i="119"/>
  <c r="AC140" i="119"/>
  <c r="AC141" i="119"/>
  <c r="AC142" i="119"/>
  <c r="AC76" i="119"/>
  <c r="AC62" i="119"/>
  <c r="AC63" i="119"/>
  <c r="AC64" i="119"/>
  <c r="AC65" i="119"/>
  <c r="AC66" i="119"/>
  <c r="AC67" i="119"/>
  <c r="AC68" i="119"/>
  <c r="AC69" i="119"/>
  <c r="AC70" i="119"/>
  <c r="AC71" i="119"/>
  <c r="AC72" i="119"/>
  <c r="AC73" i="119"/>
  <c r="AC74" i="119"/>
  <c r="AC61" i="119"/>
  <c r="AC58" i="119"/>
  <c r="AC59" i="119"/>
  <c r="AC57" i="119"/>
  <c r="AC45" i="119"/>
  <c r="AC46" i="119"/>
  <c r="AC47" i="119"/>
  <c r="AC48" i="119"/>
  <c r="AC49" i="119"/>
  <c r="AC50" i="119"/>
  <c r="AC51" i="119"/>
  <c r="AC52" i="119"/>
  <c r="AC53" i="119"/>
  <c r="AC54" i="119"/>
  <c r="AC55" i="119"/>
  <c r="AC38" i="119"/>
  <c r="AC39" i="119"/>
  <c r="AC40" i="119"/>
  <c r="AC41" i="119"/>
  <c r="AC42" i="119"/>
  <c r="AC43" i="119"/>
  <c r="AC44" i="119"/>
  <c r="AC30" i="119"/>
  <c r="AC31" i="119"/>
  <c r="AC32" i="119"/>
  <c r="AC33" i="119"/>
  <c r="AC34" i="119"/>
  <c r="AC35" i="119"/>
  <c r="AC36" i="119"/>
  <c r="AC37" i="119"/>
  <c r="AC29" i="119"/>
  <c r="AC13" i="119"/>
  <c r="AC14" i="119"/>
  <c r="AC15" i="119"/>
  <c r="AC16" i="119"/>
  <c r="AC17" i="119"/>
  <c r="AC18" i="119"/>
  <c r="AC19" i="119"/>
  <c r="AC20" i="119"/>
  <c r="AC21" i="119"/>
  <c r="AC22" i="119"/>
  <c r="AC23" i="119"/>
  <c r="AC24" i="119"/>
  <c r="AC25" i="119"/>
  <c r="AC26" i="119"/>
  <c r="AC27" i="119"/>
  <c r="AC12" i="119"/>
  <c r="AC11" i="119"/>
  <c r="AC9" i="119"/>
  <c r="AC8" i="119"/>
  <c r="DY9" i="105"/>
  <c r="DY10" i="105"/>
  <c r="DY11" i="105"/>
  <c r="DY12" i="105"/>
  <c r="DY13" i="105"/>
  <c r="DY14" i="105"/>
  <c r="DY15" i="105"/>
  <c r="DY16" i="105"/>
  <c r="DY17" i="105"/>
  <c r="DY18" i="105"/>
  <c r="DY19" i="105"/>
  <c r="DY20" i="105"/>
  <c r="DY21" i="105"/>
  <c r="DY22" i="105"/>
  <c r="DY23" i="105"/>
  <c r="DY24" i="105"/>
  <c r="DY25" i="105"/>
  <c r="DY26" i="105"/>
  <c r="DY27" i="105"/>
  <c r="DY28" i="105"/>
  <c r="DY29" i="105"/>
  <c r="DY30" i="105"/>
  <c r="DY31" i="105"/>
  <c r="DY32" i="105"/>
  <c r="DY33" i="105"/>
  <c r="DY34" i="105"/>
  <c r="DY35" i="105"/>
  <c r="DY36" i="105"/>
  <c r="DY37" i="105"/>
  <c r="DY38" i="105"/>
  <c r="DY39" i="105"/>
  <c r="DY40" i="105"/>
  <c r="DY41" i="105"/>
  <c r="DY42" i="105"/>
  <c r="DY43" i="105"/>
  <c r="DY44" i="105"/>
  <c r="DY45" i="105"/>
  <c r="DY46" i="105"/>
  <c r="DY47" i="105"/>
  <c r="DY48" i="105"/>
  <c r="DY49" i="105"/>
  <c r="DY50" i="105"/>
  <c r="DX30" i="105"/>
  <c r="DX31" i="105"/>
  <c r="DX32" i="105"/>
  <c r="DX33" i="105"/>
  <c r="DX34" i="105"/>
  <c r="DX35" i="105"/>
  <c r="DX36" i="105"/>
  <c r="DX37" i="105"/>
  <c r="DX38" i="105"/>
  <c r="DX39" i="105"/>
  <c r="DX40" i="105"/>
  <c r="DX41" i="105"/>
  <c r="DX42" i="105"/>
  <c r="DX43" i="105"/>
  <c r="DX44" i="105"/>
  <c r="DX45" i="105"/>
  <c r="DX46" i="105"/>
  <c r="DX47" i="105"/>
  <c r="DX48" i="105"/>
  <c r="DX49" i="105"/>
  <c r="DX50" i="105"/>
  <c r="DX9" i="105"/>
  <c r="DX10" i="105"/>
  <c r="DX11" i="105"/>
  <c r="DX12" i="105"/>
  <c r="DX13" i="105"/>
  <c r="DX14" i="105"/>
  <c r="DX15" i="105"/>
  <c r="DX16" i="105"/>
  <c r="DX17" i="105"/>
  <c r="DX18" i="105"/>
  <c r="DX19" i="105"/>
  <c r="DX20" i="105"/>
  <c r="DX21" i="105"/>
  <c r="DX22" i="105"/>
  <c r="DX23" i="105"/>
  <c r="DX24" i="105"/>
  <c r="DX25" i="105"/>
  <c r="DX26" i="105"/>
  <c r="DX27" i="105"/>
  <c r="DX28" i="105"/>
  <c r="DX29" i="105"/>
  <c r="DX8" i="105"/>
  <c r="DY8" i="105"/>
  <c r="DW30" i="105"/>
  <c r="DW31" i="105"/>
  <c r="DW32" i="105"/>
  <c r="DW33" i="105"/>
  <c r="DW34" i="105"/>
  <c r="DW35" i="105"/>
  <c r="DW36" i="105"/>
  <c r="DW37" i="105"/>
  <c r="DW38" i="105"/>
  <c r="DW39" i="105"/>
  <c r="DW40" i="105"/>
  <c r="DW41" i="105"/>
  <c r="DW42" i="105"/>
  <c r="DW43" i="105"/>
  <c r="DW44" i="105"/>
  <c r="DW45" i="105"/>
  <c r="DW46" i="105"/>
  <c r="DW47" i="105"/>
  <c r="DW48" i="105"/>
  <c r="DW49" i="105"/>
  <c r="DW50" i="105"/>
  <c r="DW9" i="105"/>
  <c r="DW10" i="105"/>
  <c r="DW11" i="105"/>
  <c r="DW12" i="105"/>
  <c r="DW13" i="105"/>
  <c r="DW14" i="105"/>
  <c r="DW15" i="105"/>
  <c r="DW16" i="105"/>
  <c r="DW17" i="105"/>
  <c r="DW18" i="105"/>
  <c r="DW19" i="105"/>
  <c r="DW20" i="105"/>
  <c r="DW21" i="105"/>
  <c r="DW22" i="105"/>
  <c r="DW23" i="105"/>
  <c r="DW24" i="105"/>
  <c r="DW25" i="105"/>
  <c r="DW26" i="105"/>
  <c r="DW27" i="105"/>
  <c r="DW28" i="105"/>
  <c r="DW29" i="105"/>
  <c r="DW8" i="105"/>
  <c r="G163" i="119" l="1"/>
  <c r="AB103" i="119"/>
  <c r="G12" i="120"/>
  <c r="S106" i="119" l="1"/>
  <c r="AB134" i="119"/>
  <c r="AB135" i="119"/>
  <c r="S134" i="119"/>
  <c r="S32" i="120"/>
  <c r="J32" i="120"/>
  <c r="AB129" i="119"/>
  <c r="AB127" i="119"/>
  <c r="M129" i="119"/>
  <c r="M127" i="119"/>
  <c r="S28" i="120"/>
  <c r="S29" i="120"/>
  <c r="J28" i="120"/>
  <c r="J29" i="120"/>
  <c r="M124" i="119"/>
  <c r="AB115" i="119"/>
  <c r="M115" i="119"/>
  <c r="AB106" i="119"/>
  <c r="AB105" i="119"/>
  <c r="S105" i="119"/>
  <c r="P105" i="119"/>
  <c r="S103" i="119"/>
  <c r="AB92" i="119"/>
  <c r="S92" i="119"/>
  <c r="AB87" i="119"/>
  <c r="S87" i="119"/>
  <c r="AB79" i="119"/>
  <c r="AB78" i="119"/>
  <c r="AB80" i="119"/>
  <c r="M78" i="119"/>
  <c r="M80" i="119"/>
  <c r="M79" i="119"/>
  <c r="S16" i="120"/>
  <c r="J16" i="120"/>
  <c r="M63" i="119"/>
  <c r="G77" i="119"/>
  <c r="G13" i="120"/>
  <c r="AB33" i="119"/>
  <c r="M33" i="119"/>
  <c r="AB18" i="119"/>
  <c r="AB19" i="119"/>
  <c r="M19" i="119"/>
  <c r="M18" i="119"/>
  <c r="M24" i="119"/>
  <c r="M14" i="119"/>
  <c r="M10" i="119" s="1"/>
  <c r="J3" i="100" l="1"/>
  <c r="F29" i="100"/>
  <c r="V5" i="104" l="1"/>
  <c r="Y13" i="104"/>
  <c r="G11" i="104"/>
  <c r="P10" i="118"/>
  <c r="AN25" i="118"/>
  <c r="AK24" i="118"/>
  <c r="AB18" i="118"/>
  <c r="G6" i="118"/>
  <c r="G40" i="27"/>
  <c r="M120" i="27"/>
  <c r="M119" i="27"/>
  <c r="M117" i="27"/>
  <c r="M24" i="27"/>
  <c r="M20" i="27"/>
  <c r="M7" i="27"/>
  <c r="AE10" i="73" l="1"/>
  <c r="AE11" i="73"/>
  <c r="AE12" i="73"/>
  <c r="AE14" i="73"/>
  <c r="AE15" i="73"/>
  <c r="AE16" i="73"/>
  <c r="AE17" i="73"/>
  <c r="AE18" i="73"/>
  <c r="AE19" i="73"/>
  <c r="AE20" i="73"/>
  <c r="AE23" i="73"/>
  <c r="AE24" i="73"/>
  <c r="AE25" i="73"/>
  <c r="AE26" i="73"/>
  <c r="AE27" i="73"/>
  <c r="AE31" i="73"/>
  <c r="AE32" i="73"/>
  <c r="AE33" i="73"/>
  <c r="AE34" i="73"/>
  <c r="AE35" i="73"/>
  <c r="AE36" i="73"/>
  <c r="AE37" i="73"/>
  <c r="AE40" i="73"/>
  <c r="AE42" i="73"/>
  <c r="AE44" i="73"/>
  <c r="AE45" i="73"/>
  <c r="AE46" i="73"/>
  <c r="AE50" i="73"/>
  <c r="AE9" i="73"/>
  <c r="F43" i="74"/>
  <c r="F43" i="73"/>
  <c r="AE43" i="73" s="1"/>
  <c r="F43" i="35" l="1"/>
  <c r="F43" i="40"/>
  <c r="F43" i="39"/>
  <c r="F43" i="36"/>
  <c r="F43" i="38" l="1"/>
  <c r="F43" i="37"/>
  <c r="F43" i="34"/>
  <c r="MZ10" i="23" l="1"/>
  <c r="BB62" i="105"/>
  <c r="BK62" i="105"/>
  <c r="IK23" i="23" l="1"/>
  <c r="E52" i="119" l="1"/>
  <c r="F52" i="119"/>
  <c r="G52" i="119"/>
  <c r="E67" i="119" l="1"/>
  <c r="F67" i="119"/>
  <c r="G67" i="119"/>
  <c r="E68" i="119"/>
  <c r="F68" i="119"/>
  <c r="G68" i="119"/>
  <c r="E81" i="119"/>
  <c r="F81" i="119"/>
  <c r="G81" i="119"/>
  <c r="E54" i="119"/>
  <c r="F54" i="119"/>
  <c r="G54" i="119"/>
  <c r="E34" i="119"/>
  <c r="F34" i="119"/>
  <c r="G34" i="119"/>
  <c r="E32" i="119"/>
  <c r="F32" i="119"/>
  <c r="G32" i="119"/>
  <c r="E86" i="119" l="1"/>
  <c r="G86" i="119"/>
  <c r="E130" i="119" l="1"/>
  <c r="F130" i="119"/>
  <c r="G130" i="119"/>
  <c r="E126" i="119"/>
  <c r="F126" i="119"/>
  <c r="G126" i="119"/>
  <c r="G121" i="119"/>
  <c r="E121" i="119"/>
  <c r="F121" i="119"/>
  <c r="G22" i="119"/>
  <c r="G21" i="119"/>
  <c r="E22" i="119"/>
  <c r="F22" i="119"/>
  <c r="T8" i="103" l="1"/>
  <c r="U8" i="103"/>
  <c r="T9" i="103"/>
  <c r="U9" i="103"/>
  <c r="T10" i="103"/>
  <c r="U10" i="103"/>
  <c r="V10" i="103"/>
  <c r="T11" i="103"/>
  <c r="U11" i="103"/>
  <c r="V11" i="103"/>
  <c r="T12" i="103"/>
  <c r="U12" i="103"/>
  <c r="V12" i="103"/>
  <c r="T13" i="103"/>
  <c r="U13" i="103"/>
  <c r="V13" i="103"/>
  <c r="T14" i="103"/>
  <c r="U14" i="103"/>
  <c r="V14" i="103"/>
  <c r="T17" i="103"/>
  <c r="U17" i="103"/>
  <c r="V17" i="103"/>
  <c r="T18" i="103"/>
  <c r="U18" i="103"/>
  <c r="V18" i="103"/>
  <c r="T20" i="103"/>
  <c r="U20" i="103"/>
  <c r="V20" i="103"/>
  <c r="T22" i="103"/>
  <c r="U22" i="103"/>
  <c r="V22" i="103"/>
  <c r="E19" i="103"/>
  <c r="F16" i="103"/>
  <c r="G16" i="103"/>
  <c r="H16" i="103"/>
  <c r="I16" i="103"/>
  <c r="J16" i="103"/>
  <c r="K16" i="103"/>
  <c r="L16" i="103"/>
  <c r="M16" i="103"/>
  <c r="N16" i="103"/>
  <c r="O16" i="103"/>
  <c r="P16" i="103"/>
  <c r="Q16" i="103"/>
  <c r="R16" i="103"/>
  <c r="S16" i="103"/>
  <c r="E16" i="103"/>
  <c r="R7" i="103"/>
  <c r="F7" i="103"/>
  <c r="G7" i="103"/>
  <c r="H7" i="103"/>
  <c r="I7" i="103"/>
  <c r="J7" i="103"/>
  <c r="K7" i="103"/>
  <c r="L7" i="103"/>
  <c r="M7" i="103"/>
  <c r="N7" i="103"/>
  <c r="O7" i="103"/>
  <c r="P7" i="103"/>
  <c r="Q7" i="103"/>
  <c r="E7" i="103"/>
  <c r="F19" i="103"/>
  <c r="G19" i="103"/>
  <c r="H19" i="103"/>
  <c r="H15" i="103" s="1"/>
  <c r="I19" i="103"/>
  <c r="J19" i="103"/>
  <c r="K19" i="103"/>
  <c r="L19" i="103"/>
  <c r="L15" i="103" s="1"/>
  <c r="M19" i="103"/>
  <c r="N19" i="103"/>
  <c r="O19" i="103"/>
  <c r="P19" i="103"/>
  <c r="Q19" i="103"/>
  <c r="R19" i="103"/>
  <c r="S19" i="103"/>
  <c r="F44" i="101"/>
  <c r="F36" i="101"/>
  <c r="F34" i="101" s="1"/>
  <c r="E33" i="120"/>
  <c r="F33" i="120"/>
  <c r="F28" i="120"/>
  <c r="E18" i="120"/>
  <c r="F18" i="120"/>
  <c r="E19" i="120"/>
  <c r="F19" i="120"/>
  <c r="E17" i="120"/>
  <c r="F17" i="120"/>
  <c r="E12" i="120"/>
  <c r="F12" i="120"/>
  <c r="L69" i="27"/>
  <c r="J69" i="27"/>
  <c r="K69" i="27"/>
  <c r="J132" i="27"/>
  <c r="F53" i="27"/>
  <c r="G53" i="27"/>
  <c r="H53" i="27"/>
  <c r="I53" i="27"/>
  <c r="J53" i="27"/>
  <c r="K53" i="27"/>
  <c r="L53" i="27"/>
  <c r="M53" i="27"/>
  <c r="N53" i="27"/>
  <c r="O53" i="27"/>
  <c r="E53" i="27"/>
  <c r="L41" i="27"/>
  <c r="M41" i="27"/>
  <c r="K41" i="27"/>
  <c r="L23" i="27"/>
  <c r="M23" i="27"/>
  <c r="K23" i="27"/>
  <c r="L10" i="27"/>
  <c r="M10" i="27"/>
  <c r="K10" i="27"/>
  <c r="L5" i="26"/>
  <c r="AI6" i="26"/>
  <c r="AJ6" i="26"/>
  <c r="AK6" i="26"/>
  <c r="AI7" i="26"/>
  <c r="AJ7" i="26"/>
  <c r="AK7" i="26"/>
  <c r="AI8" i="26"/>
  <c r="AK8" i="26"/>
  <c r="AI9" i="26"/>
  <c r="AJ9" i="26"/>
  <c r="AK9" i="26"/>
  <c r="AI10" i="26"/>
  <c r="AK10" i="26"/>
  <c r="AI11" i="26"/>
  <c r="AJ11" i="26"/>
  <c r="AK11" i="26"/>
  <c r="AI12" i="26"/>
  <c r="AK12" i="26"/>
  <c r="AI13" i="26"/>
  <c r="AJ13" i="26"/>
  <c r="AK13" i="26"/>
  <c r="AI14" i="26"/>
  <c r="AJ14" i="26"/>
  <c r="AK14" i="26"/>
  <c r="AI15" i="26"/>
  <c r="AJ15" i="26"/>
  <c r="AI16" i="26"/>
  <c r="AJ16" i="26"/>
  <c r="AK16" i="26"/>
  <c r="AI17" i="26"/>
  <c r="AJ17" i="26"/>
  <c r="AK17" i="26"/>
  <c r="AI18" i="26"/>
  <c r="AJ18" i="26"/>
  <c r="AK18" i="26"/>
  <c r="AI19" i="26"/>
  <c r="AJ19" i="26"/>
  <c r="AK19" i="26"/>
  <c r="AI20" i="26"/>
  <c r="AJ20" i="26"/>
  <c r="AK20" i="26"/>
  <c r="AI21" i="26"/>
  <c r="AI22" i="26"/>
  <c r="AJ22" i="26"/>
  <c r="AK22" i="26"/>
  <c r="AD21" i="26"/>
  <c r="AD5" i="26" s="1"/>
  <c r="G5" i="26"/>
  <c r="H5" i="26"/>
  <c r="J5" i="26"/>
  <c r="K5" i="26"/>
  <c r="M5" i="26"/>
  <c r="N5" i="26"/>
  <c r="O5" i="26"/>
  <c r="P5" i="26"/>
  <c r="Q5" i="26"/>
  <c r="R5" i="26"/>
  <c r="S5" i="26"/>
  <c r="T5" i="26"/>
  <c r="T26" i="26" s="1"/>
  <c r="U5" i="26"/>
  <c r="U26" i="26" s="1"/>
  <c r="V5" i="26"/>
  <c r="W5" i="26"/>
  <c r="W26" i="26" s="1"/>
  <c r="X5" i="26"/>
  <c r="X26" i="26" s="1"/>
  <c r="Y5" i="26"/>
  <c r="Y26" i="26" s="1"/>
  <c r="Z5" i="26"/>
  <c r="AA5" i="26"/>
  <c r="AB5" i="26"/>
  <c r="AC5" i="26"/>
  <c r="AF5" i="26"/>
  <c r="AG5" i="26"/>
  <c r="AH5" i="26"/>
  <c r="E5" i="26"/>
  <c r="V26" i="26"/>
  <c r="AJ21" i="26" l="1"/>
  <c r="V19" i="103"/>
  <c r="U19" i="103"/>
  <c r="U7" i="103"/>
  <c r="M15" i="103"/>
  <c r="M23" i="103" s="1"/>
  <c r="I15" i="103"/>
  <c r="I23" i="103" s="1"/>
  <c r="T7" i="103"/>
  <c r="T16" i="103"/>
  <c r="V16" i="103"/>
  <c r="AI5" i="26"/>
  <c r="H23" i="103"/>
  <c r="J15" i="103"/>
  <c r="J23" i="103" s="1"/>
  <c r="U16" i="103"/>
  <c r="K15" i="103"/>
  <c r="K23" i="103" s="1"/>
  <c r="L23" i="103"/>
  <c r="T19" i="103"/>
  <c r="K12" i="41"/>
  <c r="K14" i="41"/>
  <c r="K15" i="41"/>
  <c r="K16" i="41"/>
  <c r="K17" i="41"/>
  <c r="K18" i="41"/>
  <c r="K20" i="41"/>
  <c r="K23" i="41"/>
  <c r="K24" i="41"/>
  <c r="K25" i="41"/>
  <c r="K26" i="41"/>
  <c r="K27" i="41"/>
  <c r="K32" i="41"/>
  <c r="K33" i="41"/>
  <c r="K34" i="41"/>
  <c r="K35" i="41"/>
  <c r="K36" i="41"/>
  <c r="K37" i="41"/>
  <c r="K40" i="41"/>
  <c r="K41" i="41"/>
  <c r="K42" i="41"/>
  <c r="K43" i="41"/>
  <c r="K44" i="41"/>
  <c r="K45" i="41"/>
  <c r="K46" i="41"/>
  <c r="K50" i="41"/>
  <c r="K51" i="41"/>
  <c r="H12" i="41"/>
  <c r="H14" i="41"/>
  <c r="H15" i="41"/>
  <c r="H16" i="41"/>
  <c r="H17" i="41"/>
  <c r="H18" i="41"/>
  <c r="H19" i="41"/>
  <c r="H20" i="41"/>
  <c r="H23" i="41"/>
  <c r="H24" i="41"/>
  <c r="H25" i="41"/>
  <c r="H26" i="41"/>
  <c r="H27" i="41"/>
  <c r="H31" i="41"/>
  <c r="H32" i="41"/>
  <c r="H33" i="41"/>
  <c r="H34" i="41"/>
  <c r="H35" i="41"/>
  <c r="H36" i="41"/>
  <c r="H37" i="41"/>
  <c r="H40" i="41"/>
  <c r="H41" i="41"/>
  <c r="H42" i="41"/>
  <c r="H43" i="41"/>
  <c r="H44" i="41"/>
  <c r="H45" i="41"/>
  <c r="H46" i="41"/>
  <c r="H50" i="41"/>
  <c r="H51" i="41"/>
  <c r="E12" i="41"/>
  <c r="E14" i="41"/>
  <c r="E15" i="41"/>
  <c r="E16" i="41"/>
  <c r="E18" i="41"/>
  <c r="E20" i="41"/>
  <c r="E23" i="41"/>
  <c r="E24" i="41"/>
  <c r="E25" i="41"/>
  <c r="E26" i="41"/>
  <c r="E27" i="41"/>
  <c r="E31" i="41"/>
  <c r="E32" i="41"/>
  <c r="E33" i="41"/>
  <c r="E35" i="41"/>
  <c r="E36" i="41"/>
  <c r="E37" i="41"/>
  <c r="E40" i="41"/>
  <c r="E45" i="41"/>
  <c r="E46" i="41"/>
  <c r="E50" i="41"/>
  <c r="E51" i="41"/>
  <c r="AD31" i="73" l="1"/>
  <c r="AC31" i="73"/>
  <c r="AD11" i="73"/>
  <c r="AD10" i="73"/>
  <c r="AD12" i="73"/>
  <c r="AD14" i="73"/>
  <c r="AD15" i="73"/>
  <c r="AD16" i="73"/>
  <c r="AD17" i="73"/>
  <c r="AD18" i="73"/>
  <c r="AD19" i="73"/>
  <c r="AD20" i="73"/>
  <c r="AD23" i="73"/>
  <c r="AD24" i="73"/>
  <c r="AD25" i="73"/>
  <c r="AD26" i="73"/>
  <c r="AD27" i="73"/>
  <c r="AD32" i="73"/>
  <c r="AD33" i="73"/>
  <c r="AD34" i="73"/>
  <c r="AD35" i="73"/>
  <c r="AD36" i="73"/>
  <c r="AD37" i="73"/>
  <c r="AD40" i="73"/>
  <c r="AD42" i="73"/>
  <c r="AD43" i="73"/>
  <c r="AD44" i="73"/>
  <c r="AD45" i="73"/>
  <c r="AD46" i="73"/>
  <c r="AD50" i="73"/>
  <c r="AD9" i="73"/>
  <c r="AC10" i="73"/>
  <c r="AC12" i="73"/>
  <c r="AC14" i="73"/>
  <c r="AC15" i="73"/>
  <c r="AC16" i="73"/>
  <c r="AC17" i="73"/>
  <c r="AC18" i="73"/>
  <c r="AC19" i="73"/>
  <c r="AC20" i="73"/>
  <c r="AC23" i="73"/>
  <c r="AC24" i="73"/>
  <c r="AC25" i="73"/>
  <c r="AC26" i="73"/>
  <c r="AC27" i="73"/>
  <c r="AC32" i="73"/>
  <c r="AC33" i="73"/>
  <c r="AC35" i="73"/>
  <c r="AC36" i="73"/>
  <c r="AC37" i="73"/>
  <c r="AC40" i="73"/>
  <c r="AC45" i="73"/>
  <c r="AC46" i="73"/>
  <c r="AC50" i="73"/>
  <c r="AC9" i="73"/>
  <c r="V47" i="73"/>
  <c r="W47" i="73"/>
  <c r="X47" i="73"/>
  <c r="V48" i="73"/>
  <c r="W48" i="73"/>
  <c r="X48" i="73"/>
  <c r="V38" i="73"/>
  <c r="W38" i="73"/>
  <c r="X38" i="73"/>
  <c r="V39" i="73"/>
  <c r="W39" i="73"/>
  <c r="X39" i="73"/>
  <c r="V29" i="73"/>
  <c r="W29" i="73"/>
  <c r="X29" i="73"/>
  <c r="V22" i="73"/>
  <c r="W22" i="73"/>
  <c r="X22" i="73"/>
  <c r="V13" i="73"/>
  <c r="V28" i="73" s="1"/>
  <c r="W13" i="73"/>
  <c r="W28" i="73" s="1"/>
  <c r="W30" i="73" s="1"/>
  <c r="X13" i="73"/>
  <c r="X28" i="73" s="1"/>
  <c r="X30" i="73" s="1"/>
  <c r="AD50" i="35"/>
  <c r="AD10" i="35"/>
  <c r="AD11" i="35"/>
  <c r="AD12" i="35"/>
  <c r="AD14" i="35"/>
  <c r="AD15" i="35"/>
  <c r="AD16" i="35"/>
  <c r="AD17" i="35"/>
  <c r="AD18" i="35"/>
  <c r="AD19" i="35"/>
  <c r="AD20" i="35"/>
  <c r="AD23" i="35"/>
  <c r="AD24" i="35"/>
  <c r="AD25" i="35"/>
  <c r="AD26" i="35"/>
  <c r="AD27" i="35"/>
  <c r="AD31" i="35"/>
  <c r="AD32" i="35"/>
  <c r="AD33" i="35"/>
  <c r="AD34" i="35"/>
  <c r="AD35" i="35"/>
  <c r="AD36" i="35"/>
  <c r="AD37" i="35"/>
  <c r="AD40" i="35"/>
  <c r="AD41" i="35"/>
  <c r="AD42" i="35"/>
  <c r="AD43" i="35"/>
  <c r="AD44" i="35"/>
  <c r="AD45" i="35"/>
  <c r="AD46" i="35"/>
  <c r="AC10" i="35"/>
  <c r="AC12" i="35"/>
  <c r="AC14" i="35"/>
  <c r="AC15" i="35"/>
  <c r="AC16" i="35"/>
  <c r="AC17" i="35"/>
  <c r="AC18" i="35"/>
  <c r="AC19" i="35"/>
  <c r="AC20" i="35"/>
  <c r="AC23" i="35"/>
  <c r="AC24" i="35"/>
  <c r="AC25" i="35"/>
  <c r="AC26" i="35"/>
  <c r="AC27" i="35"/>
  <c r="AC31" i="35"/>
  <c r="AC32" i="35"/>
  <c r="AC33" i="35"/>
  <c r="AC34" i="35"/>
  <c r="AC35" i="35"/>
  <c r="AC36" i="35"/>
  <c r="AC37" i="35"/>
  <c r="AC40" i="35"/>
  <c r="AC45" i="35"/>
  <c r="AC46" i="35"/>
  <c r="AC50" i="35"/>
  <c r="AD9" i="35"/>
  <c r="AC9" i="35"/>
  <c r="P47" i="35"/>
  <c r="Q47" i="35"/>
  <c r="R47" i="35"/>
  <c r="P48" i="35"/>
  <c r="Q48" i="35"/>
  <c r="Q49" i="35" s="1"/>
  <c r="R48" i="35"/>
  <c r="P38" i="35"/>
  <c r="Q38" i="35"/>
  <c r="R38" i="35"/>
  <c r="P39" i="35"/>
  <c r="Q39" i="35"/>
  <c r="R39" i="35"/>
  <c r="P29" i="35"/>
  <c r="Q29" i="35"/>
  <c r="R29" i="35"/>
  <c r="P22" i="35"/>
  <c r="Q22" i="35"/>
  <c r="R22" i="35"/>
  <c r="P13" i="35"/>
  <c r="P28" i="35" s="1"/>
  <c r="Q13" i="35"/>
  <c r="Q28" i="35" s="1"/>
  <c r="Q30" i="35" s="1"/>
  <c r="R13" i="35"/>
  <c r="R28" i="35" s="1"/>
  <c r="R30" i="35" s="1"/>
  <c r="V21" i="73" l="1"/>
  <c r="Q21" i="35"/>
  <c r="P49" i="35"/>
  <c r="P21" i="35"/>
  <c r="R49" i="35"/>
  <c r="W49" i="73"/>
  <c r="P30" i="35"/>
  <c r="X21" i="73"/>
  <c r="V49" i="73"/>
  <c r="V30" i="73"/>
  <c r="R21" i="35"/>
  <c r="W21" i="73"/>
  <c r="X49" i="73"/>
  <c r="E41" i="34"/>
  <c r="F39" i="34"/>
  <c r="CV46" i="105"/>
  <c r="CW46" i="105"/>
  <c r="CX46" i="105"/>
  <c r="CV47" i="105"/>
  <c r="CW47" i="105"/>
  <c r="CX47" i="105"/>
  <c r="CX48" i="105" s="1"/>
  <c r="CV37" i="105"/>
  <c r="CW37" i="105"/>
  <c r="CX37" i="105"/>
  <c r="CV38" i="105"/>
  <c r="CW38" i="105"/>
  <c r="CX38" i="105"/>
  <c r="CV27" i="105"/>
  <c r="CW27" i="105"/>
  <c r="CX27" i="105"/>
  <c r="CV21" i="105"/>
  <c r="CW21" i="105"/>
  <c r="CX21" i="105"/>
  <c r="CV18" i="105"/>
  <c r="CW18" i="105"/>
  <c r="CX18" i="105"/>
  <c r="CX28" i="105" s="1"/>
  <c r="EB19" i="105"/>
  <c r="MZ50" i="23"/>
  <c r="MZ30" i="23"/>
  <c r="MZ19" i="23"/>
  <c r="MY19" i="23"/>
  <c r="DZ19" i="105"/>
  <c r="CW48" i="105" l="1"/>
  <c r="CW28" i="105"/>
  <c r="CW29" i="105" s="1"/>
  <c r="CV28" i="105"/>
  <c r="CV29" i="105" s="1"/>
  <c r="CV48" i="105"/>
  <c r="CX29" i="105"/>
  <c r="MZ8" i="23"/>
  <c r="DZ10" i="105"/>
  <c r="MY14" i="23"/>
  <c r="EC9" i="105"/>
  <c r="EC10" i="105"/>
  <c r="EC11" i="105"/>
  <c r="EC13" i="105"/>
  <c r="EC14" i="105"/>
  <c r="EC15" i="105"/>
  <c r="EC16" i="105"/>
  <c r="EC17" i="105"/>
  <c r="EC19" i="105"/>
  <c r="EC22" i="105"/>
  <c r="EC23" i="105"/>
  <c r="EC24" i="105"/>
  <c r="EC25" i="105"/>
  <c r="EC26" i="105"/>
  <c r="EC30" i="105"/>
  <c r="EC31" i="105"/>
  <c r="EC32" i="105"/>
  <c r="EC33" i="105"/>
  <c r="EC34" i="105"/>
  <c r="EC35" i="105"/>
  <c r="EC36" i="105"/>
  <c r="EC39" i="105"/>
  <c r="EC40" i="105"/>
  <c r="EC41" i="105"/>
  <c r="EC42" i="105"/>
  <c r="EC43" i="105"/>
  <c r="EC44" i="105"/>
  <c r="EC45" i="105"/>
  <c r="EC49" i="105"/>
  <c r="EC50" i="105"/>
  <c r="EC51" i="105"/>
  <c r="EC8" i="105"/>
  <c r="EB9" i="105"/>
  <c r="EB11" i="105"/>
  <c r="EB14" i="105"/>
  <c r="EB15" i="105"/>
  <c r="EB16" i="105"/>
  <c r="EB17" i="105"/>
  <c r="EB23" i="105"/>
  <c r="EB24" i="105"/>
  <c r="EB25" i="105"/>
  <c r="EB26" i="105"/>
  <c r="EB30" i="105"/>
  <c r="EB31" i="105"/>
  <c r="EB32" i="105"/>
  <c r="EB33" i="105"/>
  <c r="EB34" i="105"/>
  <c r="EB35" i="105"/>
  <c r="EB36" i="105"/>
  <c r="EB40" i="105"/>
  <c r="EB41" i="105"/>
  <c r="EB42" i="105"/>
  <c r="EB43" i="105"/>
  <c r="EB44" i="105"/>
  <c r="EB45" i="105"/>
  <c r="EB49" i="105"/>
  <c r="EB50" i="105"/>
  <c r="EB51" i="105"/>
  <c r="EB8" i="105"/>
  <c r="EA8" i="105"/>
  <c r="DZ8" i="105"/>
  <c r="MZ9" i="23"/>
  <c r="MZ11" i="23"/>
  <c r="MZ13" i="23"/>
  <c r="MZ14" i="23"/>
  <c r="MZ15" i="23"/>
  <c r="MZ16" i="23"/>
  <c r="MZ17" i="23"/>
  <c r="MZ22" i="23"/>
  <c r="MZ23" i="23"/>
  <c r="MZ24" i="23"/>
  <c r="MZ25" i="23"/>
  <c r="MZ26" i="23"/>
  <c r="MZ31" i="23"/>
  <c r="MZ32" i="23"/>
  <c r="MZ33" i="23"/>
  <c r="MZ34" i="23"/>
  <c r="MZ35" i="23"/>
  <c r="MZ36" i="23"/>
  <c r="MZ39" i="23"/>
  <c r="MZ41" i="23"/>
  <c r="MZ42" i="23"/>
  <c r="MZ43" i="23"/>
  <c r="MZ44" i="23"/>
  <c r="MZ45" i="23"/>
  <c r="MZ49" i="23"/>
  <c r="MY11" i="23"/>
  <c r="MY13" i="23"/>
  <c r="MY15" i="23"/>
  <c r="MY22" i="23"/>
  <c r="MY23" i="23"/>
  <c r="MY24" i="23"/>
  <c r="MY25" i="23"/>
  <c r="MY26" i="23"/>
  <c r="MY31" i="23"/>
  <c r="MY32" i="23"/>
  <c r="MY34" i="23"/>
  <c r="MY35" i="23"/>
  <c r="MY36" i="23"/>
  <c r="MY39" i="23"/>
  <c r="MY42" i="23"/>
  <c r="MY43" i="23"/>
  <c r="MY44" i="23"/>
  <c r="MY45" i="23"/>
  <c r="MY49" i="23"/>
  <c r="NB8" i="23"/>
  <c r="CV12" i="105"/>
  <c r="CV62" i="105" s="1"/>
  <c r="CW12" i="105"/>
  <c r="CW62" i="105" s="1"/>
  <c r="CX12" i="105"/>
  <c r="CX62" i="105" s="1"/>
  <c r="GT46" i="23"/>
  <c r="GU46" i="23"/>
  <c r="GU48" i="23" s="1"/>
  <c r="GV46" i="23"/>
  <c r="GT47" i="23"/>
  <c r="GT48" i="23" s="1"/>
  <c r="GU47" i="23"/>
  <c r="GV47" i="23"/>
  <c r="GT37" i="23"/>
  <c r="GU37" i="23"/>
  <c r="GV37" i="23"/>
  <c r="GT38" i="23"/>
  <c r="GU38" i="23"/>
  <c r="GV38" i="23"/>
  <c r="GT27" i="23"/>
  <c r="GU27" i="23"/>
  <c r="GV27" i="23"/>
  <c r="GT21" i="23"/>
  <c r="GU21" i="23"/>
  <c r="GV21" i="23"/>
  <c r="GT18" i="23"/>
  <c r="GT28" i="23" s="1"/>
  <c r="GU18" i="23"/>
  <c r="GV18" i="23"/>
  <c r="GT12" i="23"/>
  <c r="GU12" i="23"/>
  <c r="GV12" i="23"/>
  <c r="GK46" i="23"/>
  <c r="GL46" i="23"/>
  <c r="GM46" i="23"/>
  <c r="GK47" i="23"/>
  <c r="GL47" i="23"/>
  <c r="GM47" i="23"/>
  <c r="GK37" i="23"/>
  <c r="GL37" i="23"/>
  <c r="GM37" i="23"/>
  <c r="GK38" i="23"/>
  <c r="GL38" i="23"/>
  <c r="GM38" i="23"/>
  <c r="GK27" i="23"/>
  <c r="GL27" i="23"/>
  <c r="GM27" i="23"/>
  <c r="GK21" i="23"/>
  <c r="GL21" i="23"/>
  <c r="GM21" i="23"/>
  <c r="GK18" i="23"/>
  <c r="GK28" i="23" s="1"/>
  <c r="GL18" i="23"/>
  <c r="GM18" i="23"/>
  <c r="GM28" i="23" s="1"/>
  <c r="GK12" i="23"/>
  <c r="GL12" i="23"/>
  <c r="GM12" i="23"/>
  <c r="GM48" i="23" l="1"/>
  <c r="GL20" i="23"/>
  <c r="GU20" i="23"/>
  <c r="GK29" i="23"/>
  <c r="GK20" i="23"/>
  <c r="GL48" i="23"/>
  <c r="GV20" i="23"/>
  <c r="GV48" i="23"/>
  <c r="CX20" i="105"/>
  <c r="CV20" i="105"/>
  <c r="GT29" i="23"/>
  <c r="GT20" i="23"/>
  <c r="CW20" i="105"/>
  <c r="GM29" i="23"/>
  <c r="GK48" i="23"/>
  <c r="GV28" i="23"/>
  <c r="GV29" i="23" s="1"/>
  <c r="GM20" i="23"/>
  <c r="GL28" i="23"/>
  <c r="GL29" i="23" s="1"/>
  <c r="GU28" i="23"/>
  <c r="GU29" i="23" s="1"/>
  <c r="G37" i="120" l="1"/>
  <c r="G14" i="120"/>
  <c r="G15" i="120"/>
  <c r="G16" i="120"/>
  <c r="G20" i="120"/>
  <c r="G21" i="120"/>
  <c r="G22" i="120"/>
  <c r="G23" i="120"/>
  <c r="G24" i="120"/>
  <c r="G25" i="120"/>
  <c r="G26" i="120"/>
  <c r="G27" i="120"/>
  <c r="G29" i="120"/>
  <c r="G30" i="120"/>
  <c r="G31" i="120"/>
  <c r="G32" i="120"/>
  <c r="G34" i="120"/>
  <c r="G35" i="120"/>
  <c r="G36" i="120"/>
  <c r="G11" i="120"/>
  <c r="G10" i="120"/>
  <c r="AL9" i="119"/>
  <c r="AM9" i="119" s="1"/>
  <c r="AN9" i="119" s="1"/>
  <c r="AL57" i="119"/>
  <c r="AM57" i="119" s="1"/>
  <c r="AN57" i="119" s="1"/>
  <c r="AL58" i="119"/>
  <c r="AM58" i="119" s="1"/>
  <c r="AN58" i="119" s="1"/>
  <c r="AL59" i="119"/>
  <c r="AM59" i="119" s="1"/>
  <c r="AN59" i="119" s="1"/>
  <c r="G176" i="119"/>
  <c r="AL176" i="119" s="1"/>
  <c r="G135" i="119"/>
  <c r="AL135" i="119" s="1"/>
  <c r="AM135" i="119" s="1"/>
  <c r="AN135" i="119" s="1"/>
  <c r="G136" i="119"/>
  <c r="AL136" i="119" s="1"/>
  <c r="AM136" i="119" s="1"/>
  <c r="AN136" i="119" s="1"/>
  <c r="G137" i="119"/>
  <c r="AL137" i="119" s="1"/>
  <c r="AM137" i="119" s="1"/>
  <c r="AN137" i="119" s="1"/>
  <c r="G138" i="119"/>
  <c r="AL138" i="119" s="1"/>
  <c r="AM138" i="119" s="1"/>
  <c r="AN138" i="119" s="1"/>
  <c r="G139" i="119"/>
  <c r="AL139" i="119" s="1"/>
  <c r="G140" i="119"/>
  <c r="AL140" i="119" s="1"/>
  <c r="G141" i="119"/>
  <c r="AL141" i="119" s="1"/>
  <c r="AM141" i="119" s="1"/>
  <c r="AN141" i="119" s="1"/>
  <c r="G127" i="119"/>
  <c r="G128" i="119"/>
  <c r="AL128" i="119" s="1"/>
  <c r="AM128" i="119" s="1"/>
  <c r="AN128" i="119" s="1"/>
  <c r="G129" i="119"/>
  <c r="AL129" i="119" s="1"/>
  <c r="AM129" i="119" s="1"/>
  <c r="AN129" i="119" s="1"/>
  <c r="G131" i="119"/>
  <c r="AL131" i="119" s="1"/>
  <c r="G132" i="119"/>
  <c r="G133" i="119"/>
  <c r="AL133" i="119" s="1"/>
  <c r="AM133" i="119" s="1"/>
  <c r="AN133" i="119" s="1"/>
  <c r="G134" i="119"/>
  <c r="AL134" i="119" s="1"/>
  <c r="G116" i="119"/>
  <c r="AL116" i="119" s="1"/>
  <c r="AM116" i="119" s="1"/>
  <c r="AN116" i="119" s="1"/>
  <c r="G117" i="119"/>
  <c r="AL117" i="119" s="1"/>
  <c r="AM117" i="119" s="1"/>
  <c r="AN117" i="119" s="1"/>
  <c r="G118" i="119"/>
  <c r="AL118" i="119" s="1"/>
  <c r="AM118" i="119" s="1"/>
  <c r="AN118" i="119" s="1"/>
  <c r="G119" i="119"/>
  <c r="AL119" i="119" s="1"/>
  <c r="AM119" i="119" s="1"/>
  <c r="AN119" i="119" s="1"/>
  <c r="G120" i="119"/>
  <c r="AL120" i="119" s="1"/>
  <c r="G122" i="119"/>
  <c r="AL122" i="119" s="1"/>
  <c r="G123" i="119"/>
  <c r="AL123" i="119" s="1"/>
  <c r="AM123" i="119" s="1"/>
  <c r="AN123" i="119" s="1"/>
  <c r="G125" i="119"/>
  <c r="AL125" i="119" s="1"/>
  <c r="AM125" i="119" s="1"/>
  <c r="AN125" i="119" s="1"/>
  <c r="G82" i="119"/>
  <c r="AL82" i="119" s="1"/>
  <c r="G83" i="119"/>
  <c r="AL83" i="119" s="1"/>
  <c r="AM83" i="119" s="1"/>
  <c r="AN83" i="119" s="1"/>
  <c r="G84" i="119"/>
  <c r="AL84" i="119" s="1"/>
  <c r="G85" i="119"/>
  <c r="AL85" i="119" s="1"/>
  <c r="AM85" i="119" s="1"/>
  <c r="AN85" i="119" s="1"/>
  <c r="G87" i="119"/>
  <c r="AL87" i="119" s="1"/>
  <c r="AM87" i="119" s="1"/>
  <c r="AN87" i="119" s="1"/>
  <c r="G88" i="119"/>
  <c r="AL88" i="119" s="1"/>
  <c r="G89" i="119"/>
  <c r="G90" i="119"/>
  <c r="AL90" i="119" s="1"/>
  <c r="AM90" i="119" s="1"/>
  <c r="AN90" i="119" s="1"/>
  <c r="G92" i="119"/>
  <c r="AL92" i="119" s="1"/>
  <c r="AM92" i="119" s="1"/>
  <c r="AN92" i="119" s="1"/>
  <c r="G93" i="119"/>
  <c r="G94" i="119"/>
  <c r="AL94" i="119" s="1"/>
  <c r="AM94" i="119" s="1"/>
  <c r="AN94" i="119" s="1"/>
  <c r="G95" i="119"/>
  <c r="AL95" i="119" s="1"/>
  <c r="AM95" i="119" s="1"/>
  <c r="AN95" i="119" s="1"/>
  <c r="G96" i="119"/>
  <c r="AL96" i="119" s="1"/>
  <c r="G97" i="119"/>
  <c r="AL97" i="119" s="1"/>
  <c r="G98" i="119"/>
  <c r="AL98" i="119" s="1"/>
  <c r="AM98" i="119" s="1"/>
  <c r="AN98" i="119" s="1"/>
  <c r="G99" i="119"/>
  <c r="G100" i="119"/>
  <c r="AL100" i="119" s="1"/>
  <c r="AM100" i="119" s="1"/>
  <c r="AN100" i="119" s="1"/>
  <c r="G101" i="119"/>
  <c r="AL101" i="119" s="1"/>
  <c r="G102" i="119"/>
  <c r="AL102" i="119" s="1"/>
  <c r="AM102" i="119" s="1"/>
  <c r="AN102" i="119" s="1"/>
  <c r="G103" i="119"/>
  <c r="AL103" i="119" s="1"/>
  <c r="AM103" i="119" s="1"/>
  <c r="AN103" i="119" s="1"/>
  <c r="G104" i="119"/>
  <c r="G106" i="119"/>
  <c r="AL106" i="119" s="1"/>
  <c r="AM106" i="119" s="1"/>
  <c r="AN106" i="119" s="1"/>
  <c r="G107" i="119"/>
  <c r="AL107" i="119" s="1"/>
  <c r="G108" i="119"/>
  <c r="AL108" i="119" s="1"/>
  <c r="AM108" i="119" s="1"/>
  <c r="AN108" i="119" s="1"/>
  <c r="G109" i="119"/>
  <c r="G110" i="119"/>
  <c r="AL110" i="119" s="1"/>
  <c r="AM110" i="119" s="1"/>
  <c r="AN110" i="119" s="1"/>
  <c r="G111" i="119"/>
  <c r="AL111" i="119" s="1"/>
  <c r="AM111" i="119" s="1"/>
  <c r="AN111" i="119" s="1"/>
  <c r="G114" i="119"/>
  <c r="AL114" i="119" s="1"/>
  <c r="AM114" i="119" s="1"/>
  <c r="AN114" i="119" s="1"/>
  <c r="AL77" i="119"/>
  <c r="AM77" i="119" s="1"/>
  <c r="AN77" i="119" s="1"/>
  <c r="G76" i="119"/>
  <c r="AL76" i="119" s="1"/>
  <c r="AM76" i="119" s="1"/>
  <c r="AN76" i="119" s="1"/>
  <c r="G72" i="119"/>
  <c r="AL72" i="119" s="1"/>
  <c r="AM72" i="119" s="1"/>
  <c r="AN72" i="119" s="1"/>
  <c r="G73" i="119"/>
  <c r="AL73" i="119" s="1"/>
  <c r="G74" i="119"/>
  <c r="AL74" i="119" s="1"/>
  <c r="AM74" i="119" s="1"/>
  <c r="AN74" i="119" s="1"/>
  <c r="G71" i="119"/>
  <c r="G64" i="119"/>
  <c r="AL64" i="119" s="1"/>
  <c r="AM64" i="119" s="1"/>
  <c r="AN64" i="119" s="1"/>
  <c r="G63" i="119"/>
  <c r="G35" i="119"/>
  <c r="G36" i="119"/>
  <c r="AL36" i="119" s="1"/>
  <c r="AM36" i="119" s="1"/>
  <c r="AN36" i="119" s="1"/>
  <c r="G37" i="119"/>
  <c r="G38" i="119"/>
  <c r="AL38" i="119" s="1"/>
  <c r="AM38" i="119" s="1"/>
  <c r="AN38" i="119" s="1"/>
  <c r="G39" i="119"/>
  <c r="AL39" i="119" s="1"/>
  <c r="AM39" i="119" s="1"/>
  <c r="AN39" i="119" s="1"/>
  <c r="G40" i="119"/>
  <c r="AL40" i="119" s="1"/>
  <c r="AM40" i="119" s="1"/>
  <c r="AN40" i="119" s="1"/>
  <c r="G41" i="119"/>
  <c r="AL41" i="119" s="1"/>
  <c r="AM41" i="119" s="1"/>
  <c r="AN41" i="119" s="1"/>
  <c r="G42" i="119"/>
  <c r="AL42" i="119" s="1"/>
  <c r="G44" i="119"/>
  <c r="AL44" i="119" s="1"/>
  <c r="AM44" i="119" s="1"/>
  <c r="AN44" i="119" s="1"/>
  <c r="G45" i="119"/>
  <c r="AL45" i="119" s="1"/>
  <c r="G46" i="119"/>
  <c r="AL46" i="119" s="1"/>
  <c r="AM46" i="119" s="1"/>
  <c r="AN46" i="119" s="1"/>
  <c r="G47" i="119"/>
  <c r="AL47" i="119" s="1"/>
  <c r="AM47" i="119" s="1"/>
  <c r="AN47" i="119" s="1"/>
  <c r="G48" i="119"/>
  <c r="AL48" i="119" s="1"/>
  <c r="AM48" i="119" s="1"/>
  <c r="AN48" i="119" s="1"/>
  <c r="G49" i="119"/>
  <c r="AL49" i="119" s="1"/>
  <c r="AM49" i="119" s="1"/>
  <c r="AN49" i="119" s="1"/>
  <c r="G50" i="119"/>
  <c r="AL50" i="119" s="1"/>
  <c r="G51" i="119"/>
  <c r="AL51" i="119" s="1"/>
  <c r="G53" i="119"/>
  <c r="AL53" i="119" s="1"/>
  <c r="AM53" i="119" s="1"/>
  <c r="AN53" i="119" s="1"/>
  <c r="G15" i="119"/>
  <c r="AL15" i="119" s="1"/>
  <c r="AM15" i="119" s="1"/>
  <c r="AN15" i="119" s="1"/>
  <c r="G16" i="119"/>
  <c r="G17" i="119"/>
  <c r="AL17" i="119" s="1"/>
  <c r="AM17" i="119" s="1"/>
  <c r="AN17" i="119" s="1"/>
  <c r="G18" i="119"/>
  <c r="G20" i="119"/>
  <c r="AL20" i="119" s="1"/>
  <c r="AL21" i="119"/>
  <c r="AM21" i="119" s="1"/>
  <c r="AN21" i="119" s="1"/>
  <c r="G23" i="119"/>
  <c r="AL23" i="119" s="1"/>
  <c r="AM23" i="119" s="1"/>
  <c r="AN23" i="119" s="1"/>
  <c r="G25" i="119"/>
  <c r="AL25" i="119" s="1"/>
  <c r="AM25" i="119" s="1"/>
  <c r="AN25" i="119" s="1"/>
  <c r="G26" i="119"/>
  <c r="AL26" i="119" s="1"/>
  <c r="AM26" i="119" s="1"/>
  <c r="AN26" i="119" s="1"/>
  <c r="G27" i="119"/>
  <c r="AL27" i="119" s="1"/>
  <c r="G8" i="119"/>
  <c r="AL8" i="119" s="1"/>
  <c r="G182" i="119"/>
  <c r="AL182" i="119" s="1"/>
  <c r="G146" i="119"/>
  <c r="AL146" i="119" s="1"/>
  <c r="AM146" i="119" s="1"/>
  <c r="AN146" i="119" s="1"/>
  <c r="G147" i="119"/>
  <c r="G148" i="119"/>
  <c r="AL148" i="119" s="1"/>
  <c r="G149" i="119"/>
  <c r="AL149" i="119" s="1"/>
  <c r="AM149" i="119" s="1"/>
  <c r="AN149" i="119" s="1"/>
  <c r="G150" i="119"/>
  <c r="AL150" i="119" s="1"/>
  <c r="G151" i="119"/>
  <c r="AL151" i="119" s="1"/>
  <c r="AM151" i="119" s="1"/>
  <c r="AN151" i="119" s="1"/>
  <c r="G152" i="119"/>
  <c r="G153" i="119"/>
  <c r="AL153" i="119" s="1"/>
  <c r="AM153" i="119" s="1"/>
  <c r="AN153" i="119" s="1"/>
  <c r="G154" i="119"/>
  <c r="AL154" i="119" s="1"/>
  <c r="AM154" i="119" s="1"/>
  <c r="AN154" i="119" s="1"/>
  <c r="G155" i="119"/>
  <c r="AL155" i="119" s="1"/>
  <c r="G156" i="119"/>
  <c r="G157" i="119"/>
  <c r="AL157" i="119" s="1"/>
  <c r="AM157" i="119" s="1"/>
  <c r="AN157" i="119" s="1"/>
  <c r="G158" i="119"/>
  <c r="G159" i="119"/>
  <c r="AL159" i="119" s="1"/>
  <c r="AM159" i="119" s="1"/>
  <c r="AN159" i="119" s="1"/>
  <c r="G160" i="119"/>
  <c r="G161" i="119"/>
  <c r="AL161" i="119" s="1"/>
  <c r="AM161" i="119" s="1"/>
  <c r="AN161" i="119" s="1"/>
  <c r="G162" i="119"/>
  <c r="AL162" i="119" s="1"/>
  <c r="AM162" i="119" s="1"/>
  <c r="AN162" i="119" s="1"/>
  <c r="G164" i="119"/>
  <c r="AL164" i="119" s="1"/>
  <c r="G165" i="119"/>
  <c r="AL165" i="119" s="1"/>
  <c r="AM165" i="119" s="1"/>
  <c r="AN165" i="119" s="1"/>
  <c r="G166" i="119"/>
  <c r="AL166" i="119" s="1"/>
  <c r="G167" i="119"/>
  <c r="AL167" i="119" s="1"/>
  <c r="AM167" i="119" s="1"/>
  <c r="AN167" i="119" s="1"/>
  <c r="G168" i="119"/>
  <c r="G169" i="119"/>
  <c r="AL169" i="119" s="1"/>
  <c r="AM169" i="119" s="1"/>
  <c r="AN169" i="119" s="1"/>
  <c r="G170" i="119"/>
  <c r="AL170" i="119" s="1"/>
  <c r="AM170" i="119" s="1"/>
  <c r="AN170" i="119" s="1"/>
  <c r="G171" i="119"/>
  <c r="AL171" i="119" s="1"/>
  <c r="G172" i="119"/>
  <c r="G173" i="119"/>
  <c r="AL173" i="119" s="1"/>
  <c r="AM173" i="119" s="1"/>
  <c r="AN173" i="119" s="1"/>
  <c r="G174" i="119"/>
  <c r="G175" i="119"/>
  <c r="AL175" i="119" s="1"/>
  <c r="AM175" i="119" s="1"/>
  <c r="AN175" i="119" s="1"/>
  <c r="G177" i="119"/>
  <c r="AL177" i="119" s="1"/>
  <c r="AM177" i="119" s="1"/>
  <c r="AN177" i="119" s="1"/>
  <c r="G178" i="119"/>
  <c r="AL178" i="119" s="1"/>
  <c r="AM178" i="119" s="1"/>
  <c r="AN178" i="119" s="1"/>
  <c r="G179" i="119"/>
  <c r="G180" i="119"/>
  <c r="AL180" i="119" s="1"/>
  <c r="G181" i="119"/>
  <c r="AL181" i="119" s="1"/>
  <c r="AM181" i="119" s="1"/>
  <c r="AN181" i="119" s="1"/>
  <c r="G145" i="119"/>
  <c r="AL145" i="119" s="1"/>
  <c r="AM145" i="119" s="1"/>
  <c r="AN145" i="119" s="1"/>
  <c r="J9" i="120"/>
  <c r="J38" i="120" s="1"/>
  <c r="AM182" i="119" l="1"/>
  <c r="AN182" i="119" s="1"/>
  <c r="AL63" i="119"/>
  <c r="AM63" i="119" s="1"/>
  <c r="AN63" i="119" s="1"/>
  <c r="AM176" i="119"/>
  <c r="AN176" i="119" s="1"/>
  <c r="AM155" i="119"/>
  <c r="AN155" i="119" s="1"/>
  <c r="AM134" i="119"/>
  <c r="AN134" i="119" s="1"/>
  <c r="AL99" i="119"/>
  <c r="AM99" i="119" s="1"/>
  <c r="AN99" i="119" s="1"/>
  <c r="AL132" i="119"/>
  <c r="AM132" i="119" s="1"/>
  <c r="AN132" i="119" s="1"/>
  <c r="AL37" i="119"/>
  <c r="AM37" i="119" s="1"/>
  <c r="AN37" i="119" s="1"/>
  <c r="AM50" i="119"/>
  <c r="AN50" i="119" s="1"/>
  <c r="AM82" i="119"/>
  <c r="AN82" i="119" s="1"/>
  <c r="AM120" i="119"/>
  <c r="AN120" i="119" s="1"/>
  <c r="AL104" i="119"/>
  <c r="AM104" i="119" s="1"/>
  <c r="AN104" i="119" s="1"/>
  <c r="AL35" i="119"/>
  <c r="AM35" i="119" s="1"/>
  <c r="AN35" i="119" s="1"/>
  <c r="AM45" i="119"/>
  <c r="AN45" i="119" s="1"/>
  <c r="AL172" i="119"/>
  <c r="AM172" i="119" s="1"/>
  <c r="AN172" i="119" s="1"/>
  <c r="AL163" i="119"/>
  <c r="AM163" i="119" s="1"/>
  <c r="AN163" i="119" s="1"/>
  <c r="AL147" i="119"/>
  <c r="AM147" i="119" s="1"/>
  <c r="AN147" i="119" s="1"/>
  <c r="AL109" i="119"/>
  <c r="AM109" i="119" s="1"/>
  <c r="AN109" i="119" s="1"/>
  <c r="AM97" i="119"/>
  <c r="AN97" i="119" s="1"/>
  <c r="AL93" i="119"/>
  <c r="AM93" i="119" s="1"/>
  <c r="AN93" i="119" s="1"/>
  <c r="AM88" i="119"/>
  <c r="AN88" i="119" s="1"/>
  <c r="AM139" i="119"/>
  <c r="AN139" i="119" s="1"/>
  <c r="AM180" i="119"/>
  <c r="AN180" i="119" s="1"/>
  <c r="AM171" i="119"/>
  <c r="AN171" i="119" s="1"/>
  <c r="AM84" i="119"/>
  <c r="AN84" i="119" s="1"/>
  <c r="AM27" i="119"/>
  <c r="AN27" i="119" s="1"/>
  <c r="AM164" i="119"/>
  <c r="AN164" i="119" s="1"/>
  <c r="AL179" i="119"/>
  <c r="AM179" i="119" s="1"/>
  <c r="AN179" i="119" s="1"/>
  <c r="AL174" i="119"/>
  <c r="AM174" i="119" s="1"/>
  <c r="AN174" i="119" s="1"/>
  <c r="AL158" i="119"/>
  <c r="AM158" i="119" s="1"/>
  <c r="AN158" i="119" s="1"/>
  <c r="AL160" i="119"/>
  <c r="AM160" i="119" s="1"/>
  <c r="AN160" i="119" s="1"/>
  <c r="AM150" i="119"/>
  <c r="AN150" i="119" s="1"/>
  <c r="AM101" i="119"/>
  <c r="AN101" i="119" s="1"/>
  <c r="AL168" i="119"/>
  <c r="AM168" i="119" s="1"/>
  <c r="AN168" i="119" s="1"/>
  <c r="AL156" i="119"/>
  <c r="AM156" i="119" s="1"/>
  <c r="AN156" i="119" s="1"/>
  <c r="AM20" i="119"/>
  <c r="AN20" i="119" s="1"/>
  <c r="AL71" i="119"/>
  <c r="AM71" i="119" s="1"/>
  <c r="AN71" i="119" s="1"/>
  <c r="AM166" i="119"/>
  <c r="AN166" i="119" s="1"/>
  <c r="AM148" i="119"/>
  <c r="AN148" i="119" s="1"/>
  <c r="AL152" i="119"/>
  <c r="AM152" i="119" s="1"/>
  <c r="AN152" i="119" s="1"/>
  <c r="AL89" i="119"/>
  <c r="AM89" i="119" s="1"/>
  <c r="AN89" i="119" s="1"/>
  <c r="AL127" i="119"/>
  <c r="AM127" i="119" s="1"/>
  <c r="AN127" i="119" s="1"/>
  <c r="AL18" i="119"/>
  <c r="AM18" i="119" s="1"/>
  <c r="AN18" i="119" s="1"/>
  <c r="AL16" i="119"/>
  <c r="AM16" i="119" s="1"/>
  <c r="AN16" i="119" s="1"/>
  <c r="AM140" i="119"/>
  <c r="AN140" i="119" s="1"/>
  <c r="AM131" i="119"/>
  <c r="AN131" i="119" s="1"/>
  <c r="AM122" i="119"/>
  <c r="AN122" i="119" s="1"/>
  <c r="AM107" i="119"/>
  <c r="AN107" i="119" s="1"/>
  <c r="AM96" i="119"/>
  <c r="AN96" i="119" s="1"/>
  <c r="AM73" i="119"/>
  <c r="AN73" i="119" s="1"/>
  <c r="AM51" i="119"/>
  <c r="AN51" i="119" s="1"/>
  <c r="AM42" i="119"/>
  <c r="AN42" i="119" s="1"/>
  <c r="AM8" i="119"/>
  <c r="AN8" i="119" s="1"/>
  <c r="G28" i="120"/>
  <c r="S113" i="119"/>
  <c r="G113" i="119" s="1"/>
  <c r="M60" i="119"/>
  <c r="AB7" i="119"/>
  <c r="G7" i="119"/>
  <c r="M7" i="119"/>
  <c r="AB56" i="119"/>
  <c r="Y56" i="119"/>
  <c r="V56" i="119"/>
  <c r="S56" i="119"/>
  <c r="P56" i="119"/>
  <c r="J56" i="119"/>
  <c r="G56" i="119"/>
  <c r="AL56" i="119" s="1"/>
  <c r="AM56" i="119" s="1"/>
  <c r="M56" i="119"/>
  <c r="AB124" i="119"/>
  <c r="AB112" i="119"/>
  <c r="M112" i="119"/>
  <c r="AB91" i="119"/>
  <c r="G24" i="119"/>
  <c r="Z8" i="119"/>
  <c r="K8" i="119"/>
  <c r="F8" i="119"/>
  <c r="P9" i="43"/>
  <c r="Q9" i="43"/>
  <c r="R9" i="43"/>
  <c r="P10" i="43"/>
  <c r="R10" i="43"/>
  <c r="P11" i="43"/>
  <c r="Q11" i="43"/>
  <c r="R11" i="43"/>
  <c r="P13" i="43"/>
  <c r="Q13" i="43"/>
  <c r="R13" i="43"/>
  <c r="P14" i="43"/>
  <c r="Q14" i="43"/>
  <c r="R14" i="43"/>
  <c r="P15" i="43"/>
  <c r="Q15" i="43"/>
  <c r="R15" i="43"/>
  <c r="P16" i="43"/>
  <c r="Q16" i="43"/>
  <c r="R16" i="43"/>
  <c r="P17" i="43"/>
  <c r="Q17" i="43"/>
  <c r="R17" i="43"/>
  <c r="P19" i="43"/>
  <c r="Q19" i="43"/>
  <c r="R19" i="43"/>
  <c r="P22" i="43"/>
  <c r="Q22" i="43"/>
  <c r="R22" i="43"/>
  <c r="P23" i="43"/>
  <c r="Q23" i="43"/>
  <c r="R23" i="43"/>
  <c r="P24" i="43"/>
  <c r="Q24" i="43"/>
  <c r="R24" i="43"/>
  <c r="P25" i="43"/>
  <c r="Q25" i="43"/>
  <c r="R25" i="43"/>
  <c r="P26" i="43"/>
  <c r="Q26" i="43"/>
  <c r="R26" i="43"/>
  <c r="P30" i="43"/>
  <c r="Q30" i="43"/>
  <c r="R30" i="43"/>
  <c r="P31" i="43"/>
  <c r="Q31" i="43"/>
  <c r="R31" i="43"/>
  <c r="P32" i="43"/>
  <c r="Q32" i="43"/>
  <c r="R32" i="43"/>
  <c r="P33" i="43"/>
  <c r="Q33" i="43"/>
  <c r="R33" i="43"/>
  <c r="P34" i="43"/>
  <c r="Q34" i="43"/>
  <c r="R34" i="43"/>
  <c r="P35" i="43"/>
  <c r="Q35" i="43"/>
  <c r="R35" i="43"/>
  <c r="P36" i="43"/>
  <c r="Q36" i="43"/>
  <c r="R36" i="43"/>
  <c r="P39" i="43"/>
  <c r="Q39" i="43"/>
  <c r="R39" i="43"/>
  <c r="P40" i="43"/>
  <c r="Q40" i="43"/>
  <c r="R40" i="43"/>
  <c r="P41" i="43"/>
  <c r="Q41" i="43"/>
  <c r="R41" i="43"/>
  <c r="P42" i="43"/>
  <c r="Q42" i="43"/>
  <c r="R42" i="43"/>
  <c r="P43" i="43"/>
  <c r="Q43" i="43"/>
  <c r="R43" i="43"/>
  <c r="P44" i="43"/>
  <c r="Q44" i="43"/>
  <c r="R44" i="43"/>
  <c r="P45" i="43"/>
  <c r="Q45" i="43"/>
  <c r="R45" i="43"/>
  <c r="P49" i="43"/>
  <c r="Q49" i="43"/>
  <c r="R49" i="43"/>
  <c r="P50" i="43"/>
  <c r="Q50" i="43"/>
  <c r="R50" i="43"/>
  <c r="Q8" i="43"/>
  <c r="R8" i="43"/>
  <c r="P8" i="43"/>
  <c r="AB16" i="118"/>
  <c r="M49" i="27"/>
  <c r="M18" i="27"/>
  <c r="G22" i="27"/>
  <c r="G115" i="119" l="1"/>
  <c r="AL115" i="119" s="1"/>
  <c r="AM115" i="119" s="1"/>
  <c r="AN115" i="119" s="1"/>
  <c r="G33" i="119"/>
  <c r="AL33" i="119" s="1"/>
  <c r="AM33" i="119" s="1"/>
  <c r="AN33" i="119" s="1"/>
  <c r="AN56" i="119"/>
  <c r="G124" i="119"/>
  <c r="E8" i="119"/>
  <c r="G112" i="119"/>
  <c r="AL112" i="119" s="1"/>
  <c r="AL24" i="119"/>
  <c r="AM24" i="119" s="1"/>
  <c r="AN24" i="119" s="1"/>
  <c r="AL124" i="119"/>
  <c r="AM124" i="119" s="1"/>
  <c r="AN124" i="119" s="1"/>
  <c r="G19" i="119"/>
  <c r="AL19" i="119" s="1"/>
  <c r="AM19" i="119" s="1"/>
  <c r="AN19" i="119" s="1"/>
  <c r="G80" i="119"/>
  <c r="AL80" i="119" s="1"/>
  <c r="AM80" i="119" s="1"/>
  <c r="AN80" i="119" s="1"/>
  <c r="G105" i="119"/>
  <c r="AL7" i="119"/>
  <c r="AM7" i="119" s="1"/>
  <c r="AN7" i="119" s="1"/>
  <c r="AL113" i="119"/>
  <c r="AM113" i="119" s="1"/>
  <c r="AN113" i="119" s="1"/>
  <c r="DA38" i="105"/>
  <c r="AM112" i="119" l="1"/>
  <c r="AN112" i="119" s="1"/>
  <c r="AL105" i="119"/>
  <c r="AM105" i="119" s="1"/>
  <c r="AN105" i="119" s="1"/>
  <c r="AA169" i="119" l="1"/>
  <c r="AA171" i="119"/>
  <c r="AA163" i="119"/>
  <c r="AA150" i="119"/>
  <c r="E135" i="119"/>
  <c r="F135" i="119"/>
  <c r="E129" i="119"/>
  <c r="F129" i="119"/>
  <c r="AA124" i="119"/>
  <c r="E119" i="119"/>
  <c r="F119" i="119"/>
  <c r="E120" i="119"/>
  <c r="F120" i="119"/>
  <c r="E117" i="119"/>
  <c r="F117" i="119"/>
  <c r="E116" i="119"/>
  <c r="F116" i="119"/>
  <c r="AA115" i="119"/>
  <c r="F115" i="119" s="1"/>
  <c r="E115" i="119"/>
  <c r="E114" i="119"/>
  <c r="F114" i="119"/>
  <c r="E109" i="119"/>
  <c r="F109" i="119"/>
  <c r="AA104" i="119"/>
  <c r="F104" i="119" s="1"/>
  <c r="E104" i="119"/>
  <c r="E102" i="119"/>
  <c r="F102" i="119"/>
  <c r="E96" i="119"/>
  <c r="F96" i="119"/>
  <c r="E95" i="119"/>
  <c r="F95" i="119"/>
  <c r="E88" i="119"/>
  <c r="F88" i="119"/>
  <c r="AA80" i="119"/>
  <c r="AA77" i="119"/>
  <c r="F77" i="119" s="1"/>
  <c r="E77" i="119"/>
  <c r="E73" i="119"/>
  <c r="F73" i="119"/>
  <c r="E72" i="119"/>
  <c r="F72" i="119"/>
  <c r="AA63" i="119"/>
  <c r="H28" i="119"/>
  <c r="I28" i="119"/>
  <c r="J28" i="119"/>
  <c r="N28" i="119"/>
  <c r="O28" i="119"/>
  <c r="P28" i="119"/>
  <c r="Q28" i="119"/>
  <c r="R28" i="119"/>
  <c r="S28" i="119"/>
  <c r="T28" i="119"/>
  <c r="U28" i="119"/>
  <c r="V28" i="119"/>
  <c r="W28" i="119"/>
  <c r="X28" i="119"/>
  <c r="Y28" i="119"/>
  <c r="AB28" i="119"/>
  <c r="E55" i="119"/>
  <c r="F55" i="119"/>
  <c r="G55" i="119"/>
  <c r="E48" i="119"/>
  <c r="F48" i="119"/>
  <c r="AA46" i="119"/>
  <c r="F46" i="119" s="1"/>
  <c r="E46" i="119"/>
  <c r="AA40" i="119"/>
  <c r="F40" i="119" s="1"/>
  <c r="E40" i="119"/>
  <c r="E25" i="119"/>
  <c r="F25" i="119"/>
  <c r="U5" i="118"/>
  <c r="AO27" i="118"/>
  <c r="AP27" i="118"/>
  <c r="AQ27" i="118"/>
  <c r="F26" i="118"/>
  <c r="G26" i="118"/>
  <c r="G15" i="118" s="1"/>
  <c r="H26" i="118"/>
  <c r="I26" i="118"/>
  <c r="J26" i="118"/>
  <c r="J15" i="118" s="1"/>
  <c r="K26" i="118"/>
  <c r="L26" i="118"/>
  <c r="M26" i="118"/>
  <c r="M15" i="118" s="1"/>
  <c r="N26" i="118"/>
  <c r="O26" i="118"/>
  <c r="P26" i="118"/>
  <c r="P15" i="118" s="1"/>
  <c r="Q26" i="118"/>
  <c r="R26" i="118"/>
  <c r="S26" i="118"/>
  <c r="S15" i="118" s="1"/>
  <c r="T26" i="118"/>
  <c r="U26" i="118"/>
  <c r="V26" i="118"/>
  <c r="W26" i="118"/>
  <c r="X26" i="118"/>
  <c r="Y26" i="118"/>
  <c r="Y15" i="118" s="1"/>
  <c r="Z26" i="118"/>
  <c r="AA26" i="118"/>
  <c r="AB26" i="118"/>
  <c r="AB15" i="118" s="1"/>
  <c r="AC26" i="118"/>
  <c r="AD26" i="118"/>
  <c r="AE26" i="118"/>
  <c r="AF26" i="118"/>
  <c r="AG26" i="118"/>
  <c r="AH26" i="118"/>
  <c r="AI26" i="118"/>
  <c r="AJ26" i="118"/>
  <c r="AK26" i="118"/>
  <c r="AL26" i="118"/>
  <c r="AM26" i="118"/>
  <c r="AN26" i="118"/>
  <c r="E26" i="118"/>
  <c r="AO26" i="118" s="1"/>
  <c r="F25" i="101"/>
  <c r="AL55" i="119" l="1"/>
  <c r="AM55" i="119" s="1"/>
  <c r="AN55" i="119" s="1"/>
  <c r="AQ26" i="118"/>
  <c r="AP26" i="118"/>
  <c r="V15" i="118"/>
  <c r="V9" i="120"/>
  <c r="K9" i="120"/>
  <c r="L9" i="120"/>
  <c r="M9" i="120"/>
  <c r="N9" i="120"/>
  <c r="O9" i="120"/>
  <c r="P9" i="120"/>
  <c r="S9" i="120"/>
  <c r="S38" i="120" s="1"/>
  <c r="J39" i="120" s="1"/>
  <c r="E32" i="120"/>
  <c r="F32" i="120"/>
  <c r="I30" i="120"/>
  <c r="R23" i="120"/>
  <c r="I23" i="120"/>
  <c r="E13" i="120"/>
  <c r="F13" i="120"/>
  <c r="L49" i="27"/>
  <c r="F23" i="120" l="1"/>
  <c r="AF23" i="26"/>
  <c r="F23" i="26"/>
  <c r="G23" i="26"/>
  <c r="H23" i="26"/>
  <c r="I23" i="26"/>
  <c r="J23" i="26"/>
  <c r="J26" i="26" s="1"/>
  <c r="K23" i="26"/>
  <c r="L23" i="26"/>
  <c r="M23" i="26"/>
  <c r="N23" i="26"/>
  <c r="O23" i="26"/>
  <c r="P23" i="26"/>
  <c r="Q23" i="26"/>
  <c r="R23" i="26"/>
  <c r="S23" i="26"/>
  <c r="Z23" i="26"/>
  <c r="AA23" i="26"/>
  <c r="AB23" i="26"/>
  <c r="AC23" i="26"/>
  <c r="AD23" i="26"/>
  <c r="AE23" i="26"/>
  <c r="AG23" i="26"/>
  <c r="AH23" i="26"/>
  <c r="E23" i="26"/>
  <c r="AK23" i="26" l="1"/>
  <c r="S29" i="73"/>
  <c r="T29" i="73"/>
  <c r="U29" i="73"/>
  <c r="R22" i="73"/>
  <c r="S22" i="73"/>
  <c r="T22" i="73"/>
  <c r="U22" i="73"/>
  <c r="S13" i="73"/>
  <c r="S28" i="73" s="1"/>
  <c r="T13" i="73"/>
  <c r="T28" i="73" s="1"/>
  <c r="U13" i="73"/>
  <c r="U21" i="73" s="1"/>
  <c r="AE22" i="73" l="1"/>
  <c r="AD22" i="73"/>
  <c r="T30" i="73"/>
  <c r="T21" i="73"/>
  <c r="U28" i="73"/>
  <c r="U30" i="73" s="1"/>
  <c r="S21" i="73"/>
  <c r="S30" i="73"/>
  <c r="DZ9" i="105"/>
  <c r="DZ14" i="105"/>
  <c r="DL14" i="105" s="1"/>
  <c r="DZ15" i="105"/>
  <c r="DZ16" i="105"/>
  <c r="DZ17" i="105"/>
  <c r="DZ22" i="105"/>
  <c r="DZ23" i="105"/>
  <c r="DZ24" i="105"/>
  <c r="DZ25" i="105"/>
  <c r="DZ26" i="105"/>
  <c r="DZ30" i="105"/>
  <c r="DZ31" i="105"/>
  <c r="DZ34" i="105"/>
  <c r="DZ35" i="105"/>
  <c r="DZ36" i="105"/>
  <c r="DZ39" i="105"/>
  <c r="DZ40" i="105"/>
  <c r="DZ41" i="105"/>
  <c r="DZ42" i="105"/>
  <c r="DZ43" i="105"/>
  <c r="DZ44" i="105"/>
  <c r="DZ45" i="105"/>
  <c r="DZ49" i="105"/>
  <c r="DZ50" i="105"/>
  <c r="EA10" i="105"/>
  <c r="DL19" i="105" l="1"/>
  <c r="NA11" i="23"/>
  <c r="DO11" i="105" s="1"/>
  <c r="NA13" i="23"/>
  <c r="NA14" i="23"/>
  <c r="DO14" i="105" s="1"/>
  <c r="NA15" i="23"/>
  <c r="DO15" i="105" s="1"/>
  <c r="NA17" i="23"/>
  <c r="DO17" i="105" s="1"/>
  <c r="NA22" i="23"/>
  <c r="NA23" i="23"/>
  <c r="DO23" i="105" s="1"/>
  <c r="NA24" i="23"/>
  <c r="DO24" i="105" s="1"/>
  <c r="NA25" i="23"/>
  <c r="DO25" i="105" s="1"/>
  <c r="NA26" i="23"/>
  <c r="DO26" i="105" s="1"/>
  <c r="NA30" i="23"/>
  <c r="DO30" i="105" s="1"/>
  <c r="NA31" i="23"/>
  <c r="DO31" i="105" s="1"/>
  <c r="NA32" i="23"/>
  <c r="DO32" i="105" s="1"/>
  <c r="NA35" i="23"/>
  <c r="DO35" i="105" s="1"/>
  <c r="NA39" i="23"/>
  <c r="NA40" i="23"/>
  <c r="DO40" i="105" s="1"/>
  <c r="NA41" i="23"/>
  <c r="DO41" i="105" s="1"/>
  <c r="NA42" i="23"/>
  <c r="DO42" i="105" s="1"/>
  <c r="NA43" i="23"/>
  <c r="DO43" i="105" s="1"/>
  <c r="NA44" i="23"/>
  <c r="DO44" i="105" s="1"/>
  <c r="NA45" i="23"/>
  <c r="DO45" i="105" s="1"/>
  <c r="NA49" i="23"/>
  <c r="DO49" i="105" s="1"/>
  <c r="NA50" i="23"/>
  <c r="DO50" i="105" s="1"/>
  <c r="DL15" i="105"/>
  <c r="DL22" i="105"/>
  <c r="DL23" i="105"/>
  <c r="DL24" i="105"/>
  <c r="DL25" i="105"/>
  <c r="DL26" i="105"/>
  <c r="DL31" i="105"/>
  <c r="DL34" i="105"/>
  <c r="DL35" i="105"/>
  <c r="DL36" i="105"/>
  <c r="DL39" i="105"/>
  <c r="DL42" i="105"/>
  <c r="DL43" i="105"/>
  <c r="DL44" i="105"/>
  <c r="DL45" i="105"/>
  <c r="DL49" i="105"/>
  <c r="DP8" i="105"/>
  <c r="DM8" i="105"/>
  <c r="O38" i="34" l="1"/>
  <c r="I19" i="34"/>
  <c r="Q48" i="73" l="1"/>
  <c r="R48" i="73"/>
  <c r="S48" i="73"/>
  <c r="T48" i="73"/>
  <c r="U48" i="73"/>
  <c r="S47" i="73"/>
  <c r="T47" i="73"/>
  <c r="U47" i="73"/>
  <c r="Q39" i="73"/>
  <c r="R39" i="73"/>
  <c r="S39" i="73"/>
  <c r="T39" i="73"/>
  <c r="U39" i="73"/>
  <c r="S38" i="73"/>
  <c r="T38" i="73"/>
  <c r="U38" i="73"/>
  <c r="S49" i="73" l="1"/>
  <c r="T49" i="73"/>
  <c r="U49" i="73"/>
  <c r="BK50" i="40" l="1"/>
  <c r="X50" i="38"/>
  <c r="AA50" i="74"/>
  <c r="U50" i="36"/>
  <c r="J45" i="100"/>
  <c r="J49" i="100"/>
  <c r="F49" i="100"/>
  <c r="F45" i="100"/>
  <c r="F43" i="100"/>
  <c r="J43" i="100"/>
  <c r="F32" i="100"/>
  <c r="J32" i="100"/>
  <c r="J29" i="100"/>
  <c r="J26" i="100"/>
  <c r="F26" i="100"/>
  <c r="J23" i="100"/>
  <c r="F23" i="100"/>
  <c r="J19" i="100"/>
  <c r="F19" i="100"/>
  <c r="F14" i="100"/>
  <c r="J14" i="100"/>
  <c r="F3" i="100"/>
  <c r="F51" i="100" l="1"/>
  <c r="J51" i="100"/>
  <c r="L93" i="119"/>
  <c r="E15" i="43"/>
  <c r="E19" i="43"/>
  <c r="AB17" i="37"/>
  <c r="AP9" i="34"/>
  <c r="E40" i="120" l="1"/>
  <c r="R37" i="120"/>
  <c r="I37" i="120"/>
  <c r="E37" i="120"/>
  <c r="R36" i="120"/>
  <c r="I36" i="120"/>
  <c r="E36" i="120"/>
  <c r="R35" i="120"/>
  <c r="Q35" i="120"/>
  <c r="I35" i="120"/>
  <c r="H35" i="120"/>
  <c r="F34" i="120"/>
  <c r="E34" i="120"/>
  <c r="F31" i="120"/>
  <c r="E31" i="120"/>
  <c r="F30" i="120"/>
  <c r="E30" i="120"/>
  <c r="F29" i="120"/>
  <c r="E29" i="120"/>
  <c r="E28" i="120"/>
  <c r="F27" i="120"/>
  <c r="E27" i="120"/>
  <c r="F26" i="120"/>
  <c r="E26" i="120"/>
  <c r="F25" i="120"/>
  <c r="E25" i="120"/>
  <c r="E24" i="120"/>
  <c r="E23" i="120"/>
  <c r="F22" i="120"/>
  <c r="E22" i="120"/>
  <c r="R21" i="120"/>
  <c r="Q21" i="120"/>
  <c r="I21" i="120"/>
  <c r="H21" i="120"/>
  <c r="E21" i="120" s="1"/>
  <c r="F20" i="120"/>
  <c r="E20" i="120"/>
  <c r="F16" i="120"/>
  <c r="E16" i="120"/>
  <c r="F15" i="120"/>
  <c r="E15" i="120"/>
  <c r="F14" i="120"/>
  <c r="E14" i="120"/>
  <c r="R11" i="120"/>
  <c r="I11" i="120"/>
  <c r="E11" i="120"/>
  <c r="F10" i="120"/>
  <c r="E10" i="120"/>
  <c r="X9" i="120"/>
  <c r="W9" i="120"/>
  <c r="U9" i="120"/>
  <c r="F8" i="120"/>
  <c r="F7" i="120" s="1"/>
  <c r="E8" i="120"/>
  <c r="T8" i="120" s="1"/>
  <c r="Y7" i="120"/>
  <c r="X7" i="120"/>
  <c r="W7" i="120"/>
  <c r="V7" i="120"/>
  <c r="V38" i="120" s="1"/>
  <c r="U7" i="120"/>
  <c r="R7" i="120"/>
  <c r="Q7" i="120"/>
  <c r="O7" i="120"/>
  <c r="O38" i="120" s="1"/>
  <c r="N7" i="120"/>
  <c r="N38" i="120" s="1"/>
  <c r="L7" i="120"/>
  <c r="K7" i="120"/>
  <c r="K38" i="120" s="1"/>
  <c r="I7" i="120"/>
  <c r="H7" i="120"/>
  <c r="F189" i="119"/>
  <c r="E189" i="119"/>
  <c r="F182" i="119"/>
  <c r="E182" i="119"/>
  <c r="AJ182" i="119" s="1"/>
  <c r="AK182" i="119" s="1"/>
  <c r="F181" i="119"/>
  <c r="E181" i="119"/>
  <c r="F180" i="119"/>
  <c r="E180" i="119"/>
  <c r="F179" i="119"/>
  <c r="E179" i="119"/>
  <c r="AJ179" i="119" s="1"/>
  <c r="AK179" i="119" s="1"/>
  <c r="F178" i="119"/>
  <c r="E178" i="119"/>
  <c r="AJ178" i="119" s="1"/>
  <c r="AK178" i="119" s="1"/>
  <c r="AA177" i="119"/>
  <c r="F177" i="119" s="1"/>
  <c r="Z177" i="119"/>
  <c r="Z144" i="119" s="1"/>
  <c r="Z183" i="119" s="1"/>
  <c r="Q177" i="119"/>
  <c r="Q144" i="119" s="1"/>
  <c r="Q183" i="119" s="1"/>
  <c r="F176" i="119"/>
  <c r="E176" i="119"/>
  <c r="F175" i="119"/>
  <c r="E175" i="119"/>
  <c r="F174" i="119"/>
  <c r="E174" i="119"/>
  <c r="F173" i="119"/>
  <c r="E173" i="119"/>
  <c r="AJ173" i="119" s="1"/>
  <c r="AK173" i="119" s="1"/>
  <c r="F172" i="119"/>
  <c r="E172" i="119"/>
  <c r="AJ172" i="119" s="1"/>
  <c r="AK172" i="119" s="1"/>
  <c r="F171" i="119"/>
  <c r="AJ171" i="119" s="1"/>
  <c r="E171" i="119"/>
  <c r="F170" i="119"/>
  <c r="E170" i="119"/>
  <c r="F169" i="119"/>
  <c r="E169" i="119"/>
  <c r="F168" i="119"/>
  <c r="E168" i="119"/>
  <c r="AJ168" i="119" s="1"/>
  <c r="AK168" i="119" s="1"/>
  <c r="F167" i="119"/>
  <c r="E167" i="119"/>
  <c r="AJ167" i="119" s="1"/>
  <c r="AK167" i="119" s="1"/>
  <c r="F166" i="119"/>
  <c r="E166" i="119"/>
  <c r="AJ166" i="119" s="1"/>
  <c r="AK166" i="119" s="1"/>
  <c r="F165" i="119"/>
  <c r="E165" i="119"/>
  <c r="AJ165" i="119" s="1"/>
  <c r="AK165" i="119" s="1"/>
  <c r="F164" i="119"/>
  <c r="E164" i="119"/>
  <c r="F163" i="119"/>
  <c r="AJ163" i="119" s="1"/>
  <c r="E163" i="119"/>
  <c r="F162" i="119"/>
  <c r="E162" i="119"/>
  <c r="AJ162" i="119" s="1"/>
  <c r="AK162" i="119" s="1"/>
  <c r="F161" i="119"/>
  <c r="E161" i="119"/>
  <c r="AJ161" i="119" s="1"/>
  <c r="AK161" i="119" s="1"/>
  <c r="F160" i="119"/>
  <c r="E160" i="119"/>
  <c r="AJ160" i="119" s="1"/>
  <c r="AK160" i="119" s="1"/>
  <c r="O159" i="119"/>
  <c r="F159" i="119" s="1"/>
  <c r="E159" i="119"/>
  <c r="F158" i="119"/>
  <c r="E158" i="119"/>
  <c r="E157" i="119"/>
  <c r="F156" i="119"/>
  <c r="E156" i="119"/>
  <c r="F155" i="119"/>
  <c r="E155" i="119"/>
  <c r="E154" i="119"/>
  <c r="F153" i="119"/>
  <c r="E153" i="119"/>
  <c r="AJ153" i="119" s="1"/>
  <c r="AK153" i="119" s="1"/>
  <c r="E152" i="119"/>
  <c r="AA151" i="119"/>
  <c r="R151" i="119"/>
  <c r="E151" i="119"/>
  <c r="F150" i="119"/>
  <c r="E150" i="119"/>
  <c r="F149" i="119"/>
  <c r="E149" i="119"/>
  <c r="AI149" i="119" s="1"/>
  <c r="F148" i="119"/>
  <c r="E148" i="119"/>
  <c r="AJ148" i="119" s="1"/>
  <c r="AK148" i="119" s="1"/>
  <c r="F147" i="119"/>
  <c r="E147" i="119"/>
  <c r="F146" i="119"/>
  <c r="E146" i="119"/>
  <c r="AJ146" i="119" s="1"/>
  <c r="AK146" i="119" s="1"/>
  <c r="F145" i="119"/>
  <c r="AI145" i="119" s="1"/>
  <c r="E145" i="119"/>
  <c r="AG144" i="119"/>
  <c r="AG183" i="119" s="1"/>
  <c r="AF144" i="119"/>
  <c r="AF183" i="119" s="1"/>
  <c r="AE144" i="119"/>
  <c r="AE183" i="119" s="1"/>
  <c r="AD144" i="119"/>
  <c r="AD183" i="119" s="1"/>
  <c r="AB144" i="119"/>
  <c r="AB183" i="119" s="1"/>
  <c r="Y144" i="119"/>
  <c r="Y183" i="119" s="1"/>
  <c r="X144" i="119"/>
  <c r="X183" i="119" s="1"/>
  <c r="W144" i="119"/>
  <c r="W183" i="119" s="1"/>
  <c r="V144" i="119"/>
  <c r="V183" i="119" s="1"/>
  <c r="U144" i="119"/>
  <c r="U183" i="119" s="1"/>
  <c r="T144" i="119"/>
  <c r="T183" i="119" s="1"/>
  <c r="S144" i="119"/>
  <c r="S183" i="119" s="1"/>
  <c r="P144" i="119"/>
  <c r="P183" i="119" s="1"/>
  <c r="N144" i="119"/>
  <c r="N183" i="119" s="1"/>
  <c r="M144" i="119"/>
  <c r="M183" i="119" s="1"/>
  <c r="L144" i="119"/>
  <c r="L183" i="119" s="1"/>
  <c r="K144" i="119"/>
  <c r="K183" i="119" s="1"/>
  <c r="J144" i="119"/>
  <c r="J183" i="119" s="1"/>
  <c r="I144" i="119"/>
  <c r="I183" i="119" s="1"/>
  <c r="H144" i="119"/>
  <c r="H183" i="119" s="1"/>
  <c r="G142" i="119"/>
  <c r="F142" i="119"/>
  <c r="E142" i="119"/>
  <c r="AA141" i="119"/>
  <c r="L141" i="119"/>
  <c r="E141" i="119"/>
  <c r="F140" i="119"/>
  <c r="E140" i="119"/>
  <c r="AA139" i="119"/>
  <c r="L139" i="119"/>
  <c r="E139" i="119"/>
  <c r="F138" i="119"/>
  <c r="E138" i="119"/>
  <c r="F137" i="119"/>
  <c r="E137" i="119"/>
  <c r="L136" i="119"/>
  <c r="F136" i="119" s="1"/>
  <c r="E136" i="119"/>
  <c r="E134" i="119"/>
  <c r="Z133" i="119"/>
  <c r="K133" i="119"/>
  <c r="E132" i="119"/>
  <c r="Z131" i="119"/>
  <c r="K131" i="119"/>
  <c r="E131" i="119" s="1"/>
  <c r="F128" i="119"/>
  <c r="E128" i="119"/>
  <c r="AA127" i="119"/>
  <c r="L127" i="119"/>
  <c r="E127" i="119"/>
  <c r="F125" i="119"/>
  <c r="E125" i="119"/>
  <c r="F124" i="119"/>
  <c r="E124" i="119"/>
  <c r="F123" i="119"/>
  <c r="E123" i="119"/>
  <c r="F122" i="119"/>
  <c r="E122" i="119"/>
  <c r="F118" i="119"/>
  <c r="E118" i="119"/>
  <c r="F113" i="119"/>
  <c r="E113" i="119"/>
  <c r="AA112" i="119"/>
  <c r="L112" i="119"/>
  <c r="E112" i="119"/>
  <c r="AA111" i="119"/>
  <c r="Z111" i="119"/>
  <c r="R111" i="119"/>
  <c r="Q111" i="119"/>
  <c r="F110" i="119"/>
  <c r="E110" i="119"/>
  <c r="F108" i="119"/>
  <c r="E108" i="119"/>
  <c r="F107" i="119"/>
  <c r="E107" i="119"/>
  <c r="F106" i="119"/>
  <c r="E106" i="119"/>
  <c r="P75" i="119"/>
  <c r="O105" i="119"/>
  <c r="F105" i="119" s="1"/>
  <c r="E105" i="119"/>
  <c r="F103" i="119"/>
  <c r="AJ103" i="119" s="1"/>
  <c r="E103" i="119"/>
  <c r="F101" i="119"/>
  <c r="E101" i="119"/>
  <c r="F100" i="119"/>
  <c r="E100" i="119"/>
  <c r="F99" i="119"/>
  <c r="E99" i="119"/>
  <c r="F98" i="119"/>
  <c r="AJ98" i="119" s="1"/>
  <c r="E98" i="119"/>
  <c r="F97" i="119"/>
  <c r="E97" i="119"/>
  <c r="F94" i="119"/>
  <c r="E94" i="119"/>
  <c r="AA93" i="119"/>
  <c r="F93" i="119" s="1"/>
  <c r="E93" i="119"/>
  <c r="E92" i="119"/>
  <c r="AA91" i="119"/>
  <c r="M91" i="119"/>
  <c r="G91" i="119" s="1"/>
  <c r="L91" i="119"/>
  <c r="E91" i="119"/>
  <c r="AA90" i="119"/>
  <c r="R90" i="119"/>
  <c r="E90" i="119"/>
  <c r="AA89" i="119"/>
  <c r="L89" i="119"/>
  <c r="E89" i="119"/>
  <c r="F87" i="119"/>
  <c r="E87" i="119"/>
  <c r="F85" i="119"/>
  <c r="E85" i="119"/>
  <c r="F84" i="119"/>
  <c r="E84" i="119"/>
  <c r="F83" i="119"/>
  <c r="E83" i="119"/>
  <c r="F82" i="119"/>
  <c r="E82" i="119"/>
  <c r="E80" i="119"/>
  <c r="Z79" i="119"/>
  <c r="Z75" i="119" s="1"/>
  <c r="K79" i="119"/>
  <c r="F78" i="119"/>
  <c r="AJ78" i="119" s="1"/>
  <c r="E78" i="119"/>
  <c r="F76" i="119"/>
  <c r="E76" i="119"/>
  <c r="AG75" i="119"/>
  <c r="AF75" i="119"/>
  <c r="AD75" i="119"/>
  <c r="Y75" i="119"/>
  <c r="X75" i="119"/>
  <c r="W75" i="119"/>
  <c r="V75" i="119"/>
  <c r="U75" i="119"/>
  <c r="T75" i="119"/>
  <c r="S75" i="119"/>
  <c r="N75" i="119"/>
  <c r="J75" i="119"/>
  <c r="I75" i="119"/>
  <c r="H75" i="119"/>
  <c r="Z74" i="119"/>
  <c r="Z60" i="119" s="1"/>
  <c r="K74" i="119"/>
  <c r="K60" i="119" s="1"/>
  <c r="F71" i="119"/>
  <c r="E71" i="119"/>
  <c r="L70" i="119"/>
  <c r="F70" i="119" s="1"/>
  <c r="G70" i="119"/>
  <c r="E70" i="119"/>
  <c r="G69" i="119"/>
  <c r="AL69" i="119" s="1"/>
  <c r="AM69" i="119" s="1"/>
  <c r="AN69" i="119" s="1"/>
  <c r="F69" i="119"/>
  <c r="E69" i="119"/>
  <c r="G66" i="119"/>
  <c r="AL66" i="119" s="1"/>
  <c r="AM66" i="119" s="1"/>
  <c r="AN66" i="119" s="1"/>
  <c r="E66" i="119"/>
  <c r="G65" i="119"/>
  <c r="F65" i="119"/>
  <c r="E65" i="119"/>
  <c r="L64" i="119"/>
  <c r="F64" i="119" s="1"/>
  <c r="E64" i="119"/>
  <c r="F63" i="119"/>
  <c r="E63" i="119"/>
  <c r="G62" i="119"/>
  <c r="AL62" i="119" s="1"/>
  <c r="AM62" i="119" s="1"/>
  <c r="AN62" i="119" s="1"/>
  <c r="F62" i="119"/>
  <c r="E62" i="119"/>
  <c r="G61" i="119"/>
  <c r="F61" i="119"/>
  <c r="E61" i="119"/>
  <c r="AG60" i="119"/>
  <c r="AF60" i="119"/>
  <c r="AE60" i="119"/>
  <c r="AD60" i="119"/>
  <c r="AB60" i="119"/>
  <c r="Y60" i="119"/>
  <c r="X60" i="119"/>
  <c r="W60" i="119"/>
  <c r="V60" i="119"/>
  <c r="U60" i="119"/>
  <c r="T60" i="119"/>
  <c r="S60" i="119"/>
  <c r="R60" i="119"/>
  <c r="Q60" i="119"/>
  <c r="P60" i="119"/>
  <c r="O60" i="119"/>
  <c r="N60" i="119"/>
  <c r="J60" i="119"/>
  <c r="I60" i="119"/>
  <c r="H60" i="119"/>
  <c r="AG56" i="119"/>
  <c r="AF56" i="119"/>
  <c r="AE56" i="119"/>
  <c r="AD56" i="119"/>
  <c r="AC56" i="119"/>
  <c r="AA56" i="119"/>
  <c r="Z56" i="119"/>
  <c r="X56" i="119"/>
  <c r="W56" i="119"/>
  <c r="U56" i="119"/>
  <c r="T56" i="119"/>
  <c r="R56" i="119"/>
  <c r="Q56" i="119"/>
  <c r="O56" i="119"/>
  <c r="N56" i="119"/>
  <c r="L56" i="119"/>
  <c r="K56" i="119"/>
  <c r="I56" i="119"/>
  <c r="H56" i="119"/>
  <c r="F56" i="119"/>
  <c r="E56" i="119"/>
  <c r="F53" i="119"/>
  <c r="E53" i="119"/>
  <c r="F51" i="119"/>
  <c r="E51" i="119"/>
  <c r="F50" i="119"/>
  <c r="E50" i="119"/>
  <c r="F49" i="119"/>
  <c r="E49" i="119"/>
  <c r="F47" i="119"/>
  <c r="E47" i="119"/>
  <c r="F45" i="119"/>
  <c r="E45" i="119"/>
  <c r="F44" i="119"/>
  <c r="E44" i="119"/>
  <c r="AA43" i="119"/>
  <c r="E43" i="119"/>
  <c r="F42" i="119"/>
  <c r="E42" i="119"/>
  <c r="F41" i="119"/>
  <c r="E41" i="119"/>
  <c r="F39" i="119"/>
  <c r="E39" i="119"/>
  <c r="F38" i="119"/>
  <c r="E38" i="119"/>
  <c r="AA37" i="119"/>
  <c r="L37" i="119"/>
  <c r="E37" i="119"/>
  <c r="AA36" i="119"/>
  <c r="L36" i="119"/>
  <c r="E36" i="119"/>
  <c r="F35" i="119"/>
  <c r="E35" i="119"/>
  <c r="AA33" i="119"/>
  <c r="Z33" i="119"/>
  <c r="Z28" i="119" s="1"/>
  <c r="L33" i="119"/>
  <c r="K33" i="119"/>
  <c r="K28" i="119" s="1"/>
  <c r="G31" i="119"/>
  <c r="AL31" i="119" s="1"/>
  <c r="AM31" i="119" s="1"/>
  <c r="AN31" i="119" s="1"/>
  <c r="F31" i="119"/>
  <c r="E31" i="119"/>
  <c r="F30" i="119"/>
  <c r="G30" i="119"/>
  <c r="AL30" i="119" s="1"/>
  <c r="AM30" i="119" s="1"/>
  <c r="AN30" i="119" s="1"/>
  <c r="E30" i="119"/>
  <c r="G29" i="119"/>
  <c r="E29" i="119"/>
  <c r="AG28" i="119"/>
  <c r="AF28" i="119"/>
  <c r="AE28" i="119"/>
  <c r="AD28" i="119"/>
  <c r="AA27" i="119"/>
  <c r="L27" i="119"/>
  <c r="E27" i="119"/>
  <c r="F26" i="119"/>
  <c r="Z24" i="119"/>
  <c r="F24" i="119"/>
  <c r="K24" i="119"/>
  <c r="F23" i="119"/>
  <c r="E23" i="119"/>
  <c r="AG21" i="119"/>
  <c r="AA21" i="119"/>
  <c r="L21" i="119"/>
  <c r="E21" i="119"/>
  <c r="F20" i="119"/>
  <c r="E20" i="119"/>
  <c r="AG19" i="119"/>
  <c r="AA19" i="119"/>
  <c r="L19" i="119"/>
  <c r="E19" i="119"/>
  <c r="E18" i="119"/>
  <c r="AG17" i="119"/>
  <c r="AA17" i="119"/>
  <c r="L17" i="119"/>
  <c r="E17" i="119"/>
  <c r="F16" i="119"/>
  <c r="E16" i="119"/>
  <c r="F15" i="119"/>
  <c r="E15" i="119"/>
  <c r="AA14" i="119"/>
  <c r="Z14" i="119"/>
  <c r="L14" i="119"/>
  <c r="K14" i="119"/>
  <c r="G13" i="119"/>
  <c r="AL13" i="119" s="1"/>
  <c r="AM13" i="119" s="1"/>
  <c r="AN13" i="119" s="1"/>
  <c r="E13" i="119"/>
  <c r="G12" i="119"/>
  <c r="F12" i="119"/>
  <c r="E12" i="119"/>
  <c r="G11" i="119"/>
  <c r="E11" i="119"/>
  <c r="AF10" i="119"/>
  <c r="AE10" i="119"/>
  <c r="AD10" i="119"/>
  <c r="AB10" i="119"/>
  <c r="Y10" i="119"/>
  <c r="X10" i="119"/>
  <c r="W10" i="119"/>
  <c r="V10" i="119"/>
  <c r="U10" i="119"/>
  <c r="T10" i="119"/>
  <c r="S10" i="119"/>
  <c r="R10" i="119"/>
  <c r="Q10" i="119"/>
  <c r="P10" i="119"/>
  <c r="O10" i="119"/>
  <c r="N10" i="119"/>
  <c r="J10" i="119"/>
  <c r="I10" i="119"/>
  <c r="H10" i="119"/>
  <c r="F9" i="119"/>
  <c r="F7" i="119" s="1"/>
  <c r="E9" i="119"/>
  <c r="AG7" i="119"/>
  <c r="AF7" i="119"/>
  <c r="AE7" i="119"/>
  <c r="AD7" i="119"/>
  <c r="AA7" i="119"/>
  <c r="Z7" i="119"/>
  <c r="X7" i="119"/>
  <c r="W7" i="119"/>
  <c r="U7" i="119"/>
  <c r="T7" i="119"/>
  <c r="R7" i="119"/>
  <c r="Q7" i="119"/>
  <c r="O7" i="119"/>
  <c r="N7" i="119"/>
  <c r="L7" i="119"/>
  <c r="K7" i="119"/>
  <c r="I7" i="119"/>
  <c r="H7" i="119"/>
  <c r="AI164" i="119" l="1"/>
  <c r="E35" i="120"/>
  <c r="AA144" i="119"/>
  <c r="AA183" i="119" s="1"/>
  <c r="F33" i="119"/>
  <c r="F37" i="119"/>
  <c r="E111" i="119"/>
  <c r="G79" i="119"/>
  <c r="AL79" i="119" s="1"/>
  <c r="AM79" i="119" s="1"/>
  <c r="AN79" i="119" s="1"/>
  <c r="AL12" i="119"/>
  <c r="AM12" i="119" s="1"/>
  <c r="AN12" i="119" s="1"/>
  <c r="M28" i="119"/>
  <c r="G43" i="119"/>
  <c r="T189" i="119"/>
  <c r="X189" i="119"/>
  <c r="G14" i="119"/>
  <c r="AL14" i="119" s="1"/>
  <c r="AM14" i="119" s="1"/>
  <c r="AN14" i="119" s="1"/>
  <c r="F17" i="119"/>
  <c r="AL29" i="119"/>
  <c r="AM29" i="119" s="1"/>
  <c r="AN29" i="119" s="1"/>
  <c r="AL65" i="119"/>
  <c r="AM65" i="119" s="1"/>
  <c r="AN65" i="119" s="1"/>
  <c r="AL70" i="119"/>
  <c r="AM70" i="119" s="1"/>
  <c r="AN70" i="119" s="1"/>
  <c r="F111" i="119"/>
  <c r="J189" i="119"/>
  <c r="N189" i="119"/>
  <c r="U189" i="119"/>
  <c r="Y189" i="119"/>
  <c r="F37" i="120"/>
  <c r="F27" i="119"/>
  <c r="AL91" i="119"/>
  <c r="AM91" i="119" s="1"/>
  <c r="AN91" i="119" s="1"/>
  <c r="AL142" i="119"/>
  <c r="AM142" i="119" s="1"/>
  <c r="AN142" i="119" s="1"/>
  <c r="P189" i="119"/>
  <c r="V189" i="119"/>
  <c r="F36" i="120"/>
  <c r="AL11" i="119"/>
  <c r="AM11" i="119" s="1"/>
  <c r="AN11" i="119" s="1"/>
  <c r="AL61" i="119"/>
  <c r="AM61" i="119" s="1"/>
  <c r="AN61" i="119" s="1"/>
  <c r="M75" i="119"/>
  <c r="G78" i="119"/>
  <c r="S189" i="119"/>
  <c r="W189" i="119"/>
  <c r="F141" i="119"/>
  <c r="E79" i="119"/>
  <c r="F131" i="119"/>
  <c r="AK163" i="119"/>
  <c r="AJ150" i="119"/>
  <c r="AK150" i="119" s="1"/>
  <c r="AI168" i="119"/>
  <c r="AK171" i="119"/>
  <c r="H9" i="120"/>
  <c r="H38" i="120" s="1"/>
  <c r="E33" i="119"/>
  <c r="E28" i="119" s="1"/>
  <c r="E7" i="120"/>
  <c r="Q9" i="120"/>
  <c r="Q38" i="120" s="1"/>
  <c r="F19" i="119"/>
  <c r="AK103" i="119"/>
  <c r="AG10" i="119"/>
  <c r="AG143" i="119" s="1"/>
  <c r="AG184" i="119" s="1"/>
  <c r="Q75" i="119"/>
  <c r="Q189" i="119" s="1"/>
  <c r="F127" i="119"/>
  <c r="F11" i="120"/>
  <c r="I9" i="120"/>
  <c r="I38" i="120" s="1"/>
  <c r="AJ56" i="119"/>
  <c r="AK56" i="119" s="1"/>
  <c r="E133" i="119"/>
  <c r="AJ147" i="119"/>
  <c r="AK147" i="119" s="1"/>
  <c r="AJ156" i="119"/>
  <c r="AK156" i="119" s="1"/>
  <c r="AI176" i="119"/>
  <c r="R9" i="120"/>
  <c r="R38" i="120" s="1"/>
  <c r="AI169" i="119"/>
  <c r="AK98" i="119"/>
  <c r="L28" i="119"/>
  <c r="F74" i="119"/>
  <c r="K75" i="119"/>
  <c r="F91" i="119"/>
  <c r="Z10" i="119"/>
  <c r="Z189" i="119" s="1"/>
  <c r="F11" i="119"/>
  <c r="AA28" i="119"/>
  <c r="H143" i="119"/>
  <c r="H184" i="119" s="1"/>
  <c r="X143" i="119"/>
  <c r="X184" i="119" s="1"/>
  <c r="X190" i="119" s="1"/>
  <c r="F90" i="119"/>
  <c r="F133" i="119"/>
  <c r="F21" i="119"/>
  <c r="F43" i="119"/>
  <c r="F80" i="119"/>
  <c r="F134" i="119"/>
  <c r="F151" i="119"/>
  <c r="AJ151" i="119" s="1"/>
  <c r="AK151" i="119" s="1"/>
  <c r="G28" i="119"/>
  <c r="AL28" i="119" s="1"/>
  <c r="AM28" i="119" s="1"/>
  <c r="AN28" i="119" s="1"/>
  <c r="G60" i="119"/>
  <c r="AI155" i="119"/>
  <c r="AJ155" i="119"/>
  <c r="AK155" i="119" s="1"/>
  <c r="AI170" i="119"/>
  <c r="AJ170" i="119"/>
  <c r="AK170" i="119" s="1"/>
  <c r="E7" i="119"/>
  <c r="E14" i="119"/>
  <c r="E24" i="119"/>
  <c r="F36" i="119"/>
  <c r="R75" i="119"/>
  <c r="R143" i="119" s="1"/>
  <c r="AJ145" i="119"/>
  <c r="AK145" i="119" s="1"/>
  <c r="AI146" i="119"/>
  <c r="F157" i="119"/>
  <c r="AI182" i="119"/>
  <c r="W38" i="120"/>
  <c r="F18" i="119"/>
  <c r="O75" i="119"/>
  <c r="O143" i="119" s="1"/>
  <c r="F92" i="119"/>
  <c r="F112" i="119"/>
  <c r="F132" i="119"/>
  <c r="E177" i="119"/>
  <c r="AJ177" i="119" s="1"/>
  <c r="AK177" i="119" s="1"/>
  <c r="X38" i="120"/>
  <c r="F21" i="120"/>
  <c r="AC7" i="119"/>
  <c r="L10" i="119"/>
  <c r="AA10" i="119"/>
  <c r="P143" i="119"/>
  <c r="P184" i="119" s="1"/>
  <c r="T143" i="119"/>
  <c r="T184" i="119" s="1"/>
  <c r="AA60" i="119"/>
  <c r="J143" i="119"/>
  <c r="J184" i="119" s="1"/>
  <c r="F139" i="119"/>
  <c r="AI173" i="119"/>
  <c r="L38" i="120"/>
  <c r="U38" i="120"/>
  <c r="E9" i="120"/>
  <c r="F35" i="120"/>
  <c r="F66" i="119"/>
  <c r="L60" i="119"/>
  <c r="L75" i="119"/>
  <c r="F79" i="119"/>
  <c r="T7" i="120"/>
  <c r="Z7" i="120" s="1"/>
  <c r="Z8" i="120"/>
  <c r="AA8" i="120" s="1"/>
  <c r="F13" i="119"/>
  <c r="F14" i="119"/>
  <c r="E74" i="119"/>
  <c r="U143" i="119"/>
  <c r="U184" i="119" s="1"/>
  <c r="U190" i="119" s="1"/>
  <c r="Y143" i="119"/>
  <c r="Y184" i="119" s="1"/>
  <c r="AB75" i="119"/>
  <c r="AB143" i="119" s="1"/>
  <c r="AB184" i="119" s="1"/>
  <c r="AJ174" i="119"/>
  <c r="AK174" i="119" s="1"/>
  <c r="AI174" i="119"/>
  <c r="E26" i="119"/>
  <c r="N143" i="119"/>
  <c r="N184" i="119" s="1"/>
  <c r="V143" i="119"/>
  <c r="V184" i="119" s="1"/>
  <c r="K10" i="119"/>
  <c r="K189" i="119" s="1"/>
  <c r="F29" i="119"/>
  <c r="I143" i="119"/>
  <c r="I184" i="119" s="1"/>
  <c r="S143" i="119"/>
  <c r="S184" i="119" s="1"/>
  <c r="W143" i="119"/>
  <c r="W184" i="119" s="1"/>
  <c r="AD143" i="119"/>
  <c r="AD184" i="119" s="1"/>
  <c r="E75" i="119"/>
  <c r="AK78" i="119"/>
  <c r="F89" i="119"/>
  <c r="AI150" i="119"/>
  <c r="F152" i="119"/>
  <c r="R144" i="119"/>
  <c r="R183" i="119" s="1"/>
  <c r="AI159" i="119"/>
  <c r="AJ159" i="119"/>
  <c r="AK159" i="119" s="1"/>
  <c r="AI172" i="119"/>
  <c r="O144" i="119"/>
  <c r="O183" i="119" s="1"/>
  <c r="AI56" i="119"/>
  <c r="AF143" i="119"/>
  <c r="AF184" i="119" s="1"/>
  <c r="AJ149" i="119"/>
  <c r="AK149" i="119" s="1"/>
  <c r="AI156" i="119"/>
  <c r="AI162" i="119"/>
  <c r="AJ164" i="119"/>
  <c r="AK164" i="119" s="1"/>
  <c r="AI171" i="119"/>
  <c r="AI179" i="119"/>
  <c r="G9" i="120"/>
  <c r="G38" i="120" s="1"/>
  <c r="F24" i="120"/>
  <c r="G144" i="119"/>
  <c r="F154" i="119"/>
  <c r="AJ176" i="119"/>
  <c r="AK176" i="119" s="1"/>
  <c r="O189" i="119" l="1"/>
  <c r="Z143" i="119"/>
  <c r="Z184" i="119" s="1"/>
  <c r="E144" i="119"/>
  <c r="E183" i="119" s="1"/>
  <c r="J190" i="119"/>
  <c r="W190" i="119"/>
  <c r="T190" i="119"/>
  <c r="P190" i="119"/>
  <c r="G40" i="120"/>
  <c r="G45" i="120"/>
  <c r="S190" i="119"/>
  <c r="G10" i="119"/>
  <c r="AL10" i="119" s="1"/>
  <c r="AM10" i="119" s="1"/>
  <c r="AN10" i="119" s="1"/>
  <c r="AE75" i="119"/>
  <c r="AE143" i="119" s="1"/>
  <c r="AE184" i="119" s="1"/>
  <c r="F144" i="119"/>
  <c r="F183" i="119" s="1"/>
  <c r="AJ169" i="119"/>
  <c r="AK169" i="119" s="1"/>
  <c r="Y190" i="119"/>
  <c r="Z190" i="119"/>
  <c r="M189" i="119"/>
  <c r="Q143" i="119"/>
  <c r="Q184" i="119" s="1"/>
  <c r="R189" i="119"/>
  <c r="L189" i="119"/>
  <c r="G183" i="119"/>
  <c r="AL183" i="119" s="1"/>
  <c r="AM183" i="119" s="1"/>
  <c r="AN183" i="119" s="1"/>
  <c r="AL144" i="119"/>
  <c r="AM144" i="119" s="1"/>
  <c r="AN144" i="119" s="1"/>
  <c r="AL60" i="119"/>
  <c r="AM60" i="119" s="1"/>
  <c r="AN60" i="119" s="1"/>
  <c r="AL78" i="119"/>
  <c r="AM78" i="119" s="1"/>
  <c r="AN78" i="119" s="1"/>
  <c r="G75" i="119"/>
  <c r="AB189" i="119"/>
  <c r="AB190" i="119" s="1"/>
  <c r="N190" i="119"/>
  <c r="AL43" i="119"/>
  <c r="AM43" i="119" s="1"/>
  <c r="AN43" i="119" s="1"/>
  <c r="V190" i="119"/>
  <c r="Q190" i="119"/>
  <c r="AA7" i="120"/>
  <c r="E38" i="120"/>
  <c r="E42" i="120" s="1"/>
  <c r="T9" i="120"/>
  <c r="T38" i="120" s="1"/>
  <c r="Z38" i="120" s="1"/>
  <c r="AJ157" i="119"/>
  <c r="AK157" i="119" s="1"/>
  <c r="M143" i="119"/>
  <c r="M184" i="119" s="1"/>
  <c r="K143" i="119"/>
  <c r="K184" i="119" s="1"/>
  <c r="E10" i="119"/>
  <c r="AC60" i="119"/>
  <c r="AJ60" i="119" s="1"/>
  <c r="F60" i="119"/>
  <c r="F28" i="119"/>
  <c r="R184" i="119"/>
  <c r="E60" i="119"/>
  <c r="AC10" i="119"/>
  <c r="AJ10" i="119" s="1"/>
  <c r="O184" i="119"/>
  <c r="O190" i="119" s="1"/>
  <c r="AJ154" i="119"/>
  <c r="AK154" i="119" s="1"/>
  <c r="AI154" i="119"/>
  <c r="F10" i="119"/>
  <c r="AJ152" i="119"/>
  <c r="AK152" i="119" s="1"/>
  <c r="AI152" i="119"/>
  <c r="AC28" i="119"/>
  <c r="F9" i="120"/>
  <c r="L143" i="119"/>
  <c r="L184" i="119" s="1"/>
  <c r="AC144" i="119"/>
  <c r="AC183" i="119" s="1"/>
  <c r="R190" i="119" l="1"/>
  <c r="G143" i="119"/>
  <c r="AL143" i="119" s="1"/>
  <c r="AM143" i="119" s="1"/>
  <c r="AN143" i="119" s="1"/>
  <c r="M190" i="119"/>
  <c r="L190" i="119"/>
  <c r="AA38" i="120"/>
  <c r="E187" i="119"/>
  <c r="K190" i="119"/>
  <c r="J185" i="119"/>
  <c r="AL75" i="119"/>
  <c r="AM75" i="119" s="1"/>
  <c r="AN75" i="119" s="1"/>
  <c r="F38" i="120"/>
  <c r="Y14" i="43" s="1"/>
  <c r="AI157" i="119"/>
  <c r="AK10" i="119"/>
  <c r="AI60" i="119"/>
  <c r="E143" i="119"/>
  <c r="E184" i="119" s="1"/>
  <c r="E190" i="119" s="1"/>
  <c r="AJ28" i="119"/>
  <c r="AK28" i="119" s="1"/>
  <c r="AK60" i="119"/>
  <c r="Z9" i="120"/>
  <c r="AA9" i="120" s="1"/>
  <c r="AJ144" i="119"/>
  <c r="AK144" i="119" s="1"/>
  <c r="AI144" i="119"/>
  <c r="G184" i="119" l="1"/>
  <c r="G186" i="119" s="1"/>
  <c r="AJ183" i="119"/>
  <c r="AK183" i="119" s="1"/>
  <c r="AI183" i="119"/>
  <c r="AL184" i="119" l="1"/>
  <c r="AM184" i="119" s="1"/>
  <c r="AN184" i="119" s="1"/>
  <c r="S8" i="103"/>
  <c r="N21" i="103"/>
  <c r="N15" i="103" s="1"/>
  <c r="N23" i="103" s="1"/>
  <c r="O21" i="103"/>
  <c r="O15" i="103" s="1"/>
  <c r="O23" i="103" s="1"/>
  <c r="P21" i="103"/>
  <c r="P15" i="103" s="1"/>
  <c r="P23" i="103" s="1"/>
  <c r="Q21" i="103"/>
  <c r="Q15" i="103" s="1"/>
  <c r="Q23" i="103" s="1"/>
  <c r="R21" i="103"/>
  <c r="R15" i="103" s="1"/>
  <c r="R23" i="103" s="1"/>
  <c r="S21" i="103"/>
  <c r="S15" i="103" s="1"/>
  <c r="G21" i="103"/>
  <c r="S9" i="103"/>
  <c r="V9" i="103" s="1"/>
  <c r="Y6" i="104"/>
  <c r="Y7" i="104"/>
  <c r="Y8" i="104"/>
  <c r="Y9" i="104"/>
  <c r="Y10" i="104"/>
  <c r="Y11" i="104"/>
  <c r="Y12" i="104"/>
  <c r="Y16" i="104"/>
  <c r="Y17" i="104"/>
  <c r="Y18" i="104"/>
  <c r="V15" i="104"/>
  <c r="V14" i="104" s="1"/>
  <c r="V19" i="104" s="1"/>
  <c r="S15" i="104"/>
  <c r="S14" i="104" s="1"/>
  <c r="S19" i="104" s="1"/>
  <c r="P15" i="104"/>
  <c r="M5" i="104"/>
  <c r="M19" i="104" s="1"/>
  <c r="J5" i="104"/>
  <c r="J19" i="104" s="1"/>
  <c r="G5" i="104"/>
  <c r="J5" i="102"/>
  <c r="J16" i="102" s="1"/>
  <c r="O7" i="102"/>
  <c r="O6" i="102"/>
  <c r="G5" i="102"/>
  <c r="O5" i="102" s="1"/>
  <c r="AE16" i="118"/>
  <c r="AQ7" i="118"/>
  <c r="AQ8" i="118"/>
  <c r="AQ9" i="118"/>
  <c r="AQ10" i="118"/>
  <c r="AS10" i="118" s="1"/>
  <c r="AQ11" i="118"/>
  <c r="AQ12" i="118"/>
  <c r="AQ13" i="118"/>
  <c r="AQ14" i="118"/>
  <c r="AQ17" i="118"/>
  <c r="AQ18" i="118"/>
  <c r="AQ20" i="118"/>
  <c r="AQ22" i="118"/>
  <c r="AQ6" i="118"/>
  <c r="AH19" i="118"/>
  <c r="AH15" i="118" s="1"/>
  <c r="AH21" i="118"/>
  <c r="AQ21" i="118" s="1"/>
  <c r="G5" i="118"/>
  <c r="G28" i="118" s="1"/>
  <c r="H5" i="118"/>
  <c r="I5" i="118"/>
  <c r="J5" i="118"/>
  <c r="J28" i="118" s="1"/>
  <c r="K5" i="118"/>
  <c r="L5" i="118"/>
  <c r="M5" i="118"/>
  <c r="M28" i="118" s="1"/>
  <c r="N5" i="118"/>
  <c r="O5" i="118"/>
  <c r="P5" i="118"/>
  <c r="P28" i="118" s="1"/>
  <c r="Q5" i="118"/>
  <c r="R5" i="118"/>
  <c r="S5" i="118"/>
  <c r="T5" i="118"/>
  <c r="V5" i="118"/>
  <c r="V28" i="118" s="1"/>
  <c r="W5" i="118"/>
  <c r="X5" i="118"/>
  <c r="Y5" i="118"/>
  <c r="Y28" i="118" s="1"/>
  <c r="Z5" i="118"/>
  <c r="AA5" i="118"/>
  <c r="AB5" i="118"/>
  <c r="AB28" i="118" s="1"/>
  <c r="AC5" i="118"/>
  <c r="AD5" i="118"/>
  <c r="AE5" i="118"/>
  <c r="AF5" i="118"/>
  <c r="AG5" i="118"/>
  <c r="AH5" i="118"/>
  <c r="AI5" i="118"/>
  <c r="AJ5" i="118"/>
  <c r="AK5" i="118"/>
  <c r="AL5" i="118"/>
  <c r="AM5" i="118"/>
  <c r="AN5" i="118"/>
  <c r="F15" i="29"/>
  <c r="F14" i="29"/>
  <c r="F13" i="29"/>
  <c r="F12" i="29"/>
  <c r="F11" i="29"/>
  <c r="F10" i="29"/>
  <c r="F9" i="29"/>
  <c r="F8" i="29"/>
  <c r="F7" i="29"/>
  <c r="M104" i="27"/>
  <c r="M75" i="27"/>
  <c r="M71" i="27"/>
  <c r="M69" i="27"/>
  <c r="M60" i="27"/>
  <c r="M17" i="27"/>
  <c r="M9" i="27"/>
  <c r="M8" i="27" s="1"/>
  <c r="M19" i="27"/>
  <c r="M115" i="27"/>
  <c r="M118" i="27"/>
  <c r="M6" i="27"/>
  <c r="G127" i="27"/>
  <c r="G130" i="27" s="1"/>
  <c r="G36" i="27"/>
  <c r="G35" i="27" s="1"/>
  <c r="G21" i="27"/>
  <c r="L26" i="26"/>
  <c r="M26" i="26"/>
  <c r="K26" i="26"/>
  <c r="V21" i="103" l="1"/>
  <c r="G15" i="103"/>
  <c r="G132" i="27"/>
  <c r="G19" i="104"/>
  <c r="Y5" i="104"/>
  <c r="S7" i="103"/>
  <c r="V8" i="103"/>
  <c r="Y15" i="104"/>
  <c r="M121" i="27"/>
  <c r="AQ16" i="118"/>
  <c r="AE15" i="118"/>
  <c r="AE28" i="118" s="1"/>
  <c r="M111" i="27"/>
  <c r="AH28" i="118"/>
  <c r="S28" i="118"/>
  <c r="AQ19" i="118"/>
  <c r="P14" i="104"/>
  <c r="Y14" i="104" s="1"/>
  <c r="AK23" i="118"/>
  <c r="AK15" i="118" s="1"/>
  <c r="AQ24" i="118"/>
  <c r="AN23" i="118"/>
  <c r="AQ25" i="118"/>
  <c r="AQ5" i="118"/>
  <c r="G16" i="102"/>
  <c r="O16" i="102" s="1"/>
  <c r="S23" i="103" l="1"/>
  <c r="V7" i="103"/>
  <c r="G23" i="103"/>
  <c r="V23" i="103" s="1"/>
  <c r="V15" i="103"/>
  <c r="M132" i="27"/>
  <c r="M140" i="27" s="1"/>
  <c r="P19" i="104"/>
  <c r="Y19" i="104" s="1"/>
  <c r="Y20" i="104" s="1"/>
  <c r="AN15" i="118"/>
  <c r="AN28" i="118" s="1"/>
  <c r="AQ23" i="118"/>
  <c r="AE15" i="26"/>
  <c r="M138" i="27" l="1"/>
  <c r="M134" i="27"/>
  <c r="AK15" i="26"/>
  <c r="AQ15" i="118"/>
  <c r="AK28" i="118"/>
  <c r="AQ28" i="118" s="1"/>
  <c r="AQ29" i="118" s="1"/>
  <c r="AE21" i="26"/>
  <c r="AK21" i="26" s="1"/>
  <c r="AB26" i="26"/>
  <c r="S26" i="26"/>
  <c r="P26" i="26"/>
  <c r="AK24" i="26"/>
  <c r="AK25" i="26"/>
  <c r="EA11" i="105"/>
  <c r="EA14" i="105"/>
  <c r="DM14" i="105" s="1"/>
  <c r="EA15" i="105"/>
  <c r="EA16" i="105"/>
  <c r="EA17" i="105"/>
  <c r="EA19" i="105"/>
  <c r="EA22" i="105"/>
  <c r="EA23" i="105"/>
  <c r="EA24" i="105"/>
  <c r="EA25" i="105"/>
  <c r="EA26" i="105"/>
  <c r="EA30" i="105"/>
  <c r="EA31" i="105"/>
  <c r="EA32" i="105"/>
  <c r="EA33" i="105"/>
  <c r="EA34" i="105"/>
  <c r="EA35" i="105"/>
  <c r="EA36" i="105"/>
  <c r="EA39" i="105"/>
  <c r="EA40" i="105"/>
  <c r="EA41" i="105"/>
  <c r="EA42" i="105"/>
  <c r="EA43" i="105"/>
  <c r="EA44" i="105"/>
  <c r="EA45" i="105"/>
  <c r="EA49" i="105"/>
  <c r="EA50" i="105"/>
  <c r="EA51" i="105"/>
  <c r="NB11" i="23"/>
  <c r="NB13" i="23"/>
  <c r="NB14" i="23"/>
  <c r="NB15" i="23"/>
  <c r="DP15" i="105" s="1"/>
  <c r="NB16" i="23"/>
  <c r="NB17" i="23"/>
  <c r="DP17" i="105" s="1"/>
  <c r="NB19" i="23"/>
  <c r="NB22" i="23"/>
  <c r="NB23" i="23"/>
  <c r="NB24" i="23"/>
  <c r="DP24" i="105" s="1"/>
  <c r="NB25" i="23"/>
  <c r="NB26" i="23"/>
  <c r="NB30" i="23"/>
  <c r="NB31" i="23"/>
  <c r="NB32" i="23"/>
  <c r="NB33" i="23"/>
  <c r="NB34" i="23"/>
  <c r="NB35" i="23"/>
  <c r="NB36" i="23"/>
  <c r="NB39" i="23"/>
  <c r="NB40" i="23"/>
  <c r="NB41" i="23"/>
  <c r="NB42" i="23"/>
  <c r="NB43" i="23"/>
  <c r="NB44" i="23"/>
  <c r="NB45" i="23"/>
  <c r="NB49" i="23"/>
  <c r="DM15" i="105"/>
  <c r="DM16" i="105"/>
  <c r="DM17" i="105"/>
  <c r="DM22" i="105"/>
  <c r="DM23" i="105"/>
  <c r="DM24" i="105"/>
  <c r="DM26" i="105"/>
  <c r="NB10" i="23"/>
  <c r="DP10" i="105" s="1"/>
  <c r="NC61" i="23"/>
  <c r="NC59" i="23"/>
  <c r="NC57" i="23"/>
  <c r="EA9" i="105"/>
  <c r="NB9" i="23"/>
  <c r="AE5" i="26" l="1"/>
  <c r="AK5" i="26" s="1"/>
  <c r="AK26" i="26" s="1"/>
  <c r="AE26" i="26"/>
  <c r="DP23" i="105"/>
  <c r="DP11" i="105"/>
  <c r="DM25" i="105"/>
  <c r="DM19" i="105"/>
  <c r="DP19" i="105"/>
  <c r="DP13" i="105"/>
  <c r="DM11" i="105"/>
  <c r="DP16" i="105"/>
  <c r="DM9" i="105"/>
  <c r="DP25" i="105"/>
  <c r="AH26" i="26"/>
  <c r="DP9" i="105"/>
  <c r="DM10" i="105"/>
  <c r="G26" i="26"/>
  <c r="DP26" i="105"/>
  <c r="DP22" i="105"/>
  <c r="DP14" i="105"/>
  <c r="EF16" i="105"/>
  <c r="EF11" i="105"/>
  <c r="DG46" i="105"/>
  <c r="DG38" i="105"/>
  <c r="AP40" i="23"/>
  <c r="MZ40" i="23" s="1"/>
  <c r="F47" i="105"/>
  <c r="G47" i="105"/>
  <c r="H47" i="105"/>
  <c r="I47" i="105"/>
  <c r="J47" i="105"/>
  <c r="K47" i="105"/>
  <c r="L47" i="105"/>
  <c r="M47" i="105"/>
  <c r="N47" i="105"/>
  <c r="O47" i="105"/>
  <c r="P47" i="105"/>
  <c r="Q47" i="105"/>
  <c r="R47" i="105"/>
  <c r="S47" i="105"/>
  <c r="T47" i="105"/>
  <c r="U47" i="105"/>
  <c r="V47" i="105"/>
  <c r="W47" i="105"/>
  <c r="X47" i="105"/>
  <c r="Y47" i="105"/>
  <c r="Z47" i="105"/>
  <c r="AA47" i="105"/>
  <c r="AB47" i="105"/>
  <c r="AC47" i="105"/>
  <c r="AD47" i="105"/>
  <c r="AE47" i="105"/>
  <c r="AF47" i="105"/>
  <c r="AG47" i="105"/>
  <c r="AH47" i="105"/>
  <c r="AI47" i="105"/>
  <c r="AJ47" i="105"/>
  <c r="AK47" i="105"/>
  <c r="AL47" i="105"/>
  <c r="AM47" i="105"/>
  <c r="AN47" i="105"/>
  <c r="AO47" i="105"/>
  <c r="AP47" i="105"/>
  <c r="AQ47" i="105"/>
  <c r="AR47" i="105"/>
  <c r="AS47" i="105"/>
  <c r="AT47" i="105"/>
  <c r="AU47" i="105"/>
  <c r="AV47" i="105"/>
  <c r="AW47" i="105"/>
  <c r="AX47" i="105"/>
  <c r="AY47" i="105"/>
  <c r="AZ47" i="105"/>
  <c r="BA47" i="105"/>
  <c r="BB47" i="105"/>
  <c r="BC47" i="105"/>
  <c r="BD47" i="105"/>
  <c r="BE47" i="105"/>
  <c r="BF47" i="105"/>
  <c r="BG47" i="105"/>
  <c r="BH47" i="105"/>
  <c r="BI47" i="105"/>
  <c r="BJ47" i="105"/>
  <c r="BK47" i="105"/>
  <c r="BL47" i="105"/>
  <c r="BM47" i="105"/>
  <c r="BN47" i="105"/>
  <c r="BO47" i="105"/>
  <c r="BP47" i="105"/>
  <c r="BQ47" i="105"/>
  <c r="BR47" i="105"/>
  <c r="BS47" i="105"/>
  <c r="BT47" i="105"/>
  <c r="BU47" i="105"/>
  <c r="BV47" i="105"/>
  <c r="BW47" i="105"/>
  <c r="BX47" i="105"/>
  <c r="BY47" i="105"/>
  <c r="BZ47" i="105"/>
  <c r="CA47" i="105"/>
  <c r="CB47" i="105"/>
  <c r="CC47" i="105"/>
  <c r="CD47" i="105"/>
  <c r="CE47" i="105"/>
  <c r="CF47" i="105"/>
  <c r="CG47" i="105"/>
  <c r="CH47" i="105"/>
  <c r="CI47" i="105"/>
  <c r="CJ47" i="105"/>
  <c r="CK47" i="105"/>
  <c r="CL47" i="105"/>
  <c r="CM47" i="105"/>
  <c r="CN47" i="105"/>
  <c r="CO47" i="105"/>
  <c r="CP47" i="105"/>
  <c r="CQ47" i="105"/>
  <c r="CR47" i="105"/>
  <c r="CS47" i="105"/>
  <c r="CT47" i="105"/>
  <c r="CU47" i="105"/>
  <c r="CY47" i="105"/>
  <c r="CZ47" i="105"/>
  <c r="DA47" i="105"/>
  <c r="DB47" i="105"/>
  <c r="DC47" i="105"/>
  <c r="DD47" i="105"/>
  <c r="DE47" i="105"/>
  <c r="DF47" i="105"/>
  <c r="DG47" i="105"/>
  <c r="DH47" i="105"/>
  <c r="DI47" i="105"/>
  <c r="DJ47" i="105"/>
  <c r="F46" i="105"/>
  <c r="G46" i="105"/>
  <c r="H46" i="105"/>
  <c r="I46" i="105"/>
  <c r="I48" i="105" s="1"/>
  <c r="J46" i="105"/>
  <c r="K46" i="105"/>
  <c r="L46" i="105"/>
  <c r="M46" i="105"/>
  <c r="M48" i="105" s="1"/>
  <c r="N46" i="105"/>
  <c r="O46" i="105"/>
  <c r="P46" i="105"/>
  <c r="Q46" i="105"/>
  <c r="Q48" i="105" s="1"/>
  <c r="R46" i="105"/>
  <c r="S46" i="105"/>
  <c r="T46" i="105"/>
  <c r="U46" i="105"/>
  <c r="U48" i="105" s="1"/>
  <c r="V46" i="105"/>
  <c r="W46" i="105"/>
  <c r="X46" i="105"/>
  <c r="Y46" i="105"/>
  <c r="Y48" i="105" s="1"/>
  <c r="Z46" i="105"/>
  <c r="AA46" i="105"/>
  <c r="AB46" i="105"/>
  <c r="AC46" i="105"/>
  <c r="AC48" i="105" s="1"/>
  <c r="AD46" i="105"/>
  <c r="AE46" i="105"/>
  <c r="AF46" i="105"/>
  <c r="AG46" i="105"/>
  <c r="AG48" i="105" s="1"/>
  <c r="AH46" i="105"/>
  <c r="AI46" i="105"/>
  <c r="AJ46" i="105"/>
  <c r="AK46" i="105"/>
  <c r="AK48" i="105" s="1"/>
  <c r="AL46" i="105"/>
  <c r="AM46" i="105"/>
  <c r="AN46" i="105"/>
  <c r="AO46" i="105"/>
  <c r="AO48" i="105" s="1"/>
  <c r="AP46" i="105"/>
  <c r="AQ46" i="105"/>
  <c r="AR46" i="105"/>
  <c r="AS46" i="105"/>
  <c r="AT46" i="105"/>
  <c r="AU46" i="105"/>
  <c r="AV46" i="105"/>
  <c r="AW46" i="105"/>
  <c r="AW48" i="105" s="1"/>
  <c r="AX46" i="105"/>
  <c r="AY46" i="105"/>
  <c r="AZ46" i="105"/>
  <c r="BA46" i="105"/>
  <c r="BA48" i="105" s="1"/>
  <c r="BB46" i="105"/>
  <c r="BC46" i="105"/>
  <c r="BD46" i="105"/>
  <c r="BE46" i="105"/>
  <c r="BE48" i="105" s="1"/>
  <c r="BF46" i="105"/>
  <c r="BG46" i="105"/>
  <c r="BH46" i="105"/>
  <c r="BI46" i="105"/>
  <c r="BI48" i="105" s="1"/>
  <c r="BJ46" i="105"/>
  <c r="BK46" i="105"/>
  <c r="BL46" i="105"/>
  <c r="BM46" i="105"/>
  <c r="BM48" i="105" s="1"/>
  <c r="BN46" i="105"/>
  <c r="BO46" i="105"/>
  <c r="BP46" i="105"/>
  <c r="BQ46" i="105"/>
  <c r="BQ48" i="105" s="1"/>
  <c r="BR46" i="105"/>
  <c r="BS46" i="105"/>
  <c r="BT46" i="105"/>
  <c r="BU46" i="105"/>
  <c r="BU48" i="105" s="1"/>
  <c r="BV46" i="105"/>
  <c r="BW46" i="105"/>
  <c r="BX46" i="105"/>
  <c r="BY46" i="105"/>
  <c r="BY48" i="105" s="1"/>
  <c r="BZ46" i="105"/>
  <c r="CA46" i="105"/>
  <c r="CB46" i="105"/>
  <c r="CC46" i="105"/>
  <c r="CC48" i="105" s="1"/>
  <c r="CD46" i="105"/>
  <c r="CE46" i="105"/>
  <c r="CF46" i="105"/>
  <c r="CG46" i="105"/>
  <c r="CG48" i="105" s="1"/>
  <c r="CH46" i="105"/>
  <c r="CI46" i="105"/>
  <c r="CJ46" i="105"/>
  <c r="CK46" i="105"/>
  <c r="CK48" i="105" s="1"/>
  <c r="CL46" i="105"/>
  <c r="CL48" i="105" s="1"/>
  <c r="CM46" i="105"/>
  <c r="CN46" i="105"/>
  <c r="CO46" i="105"/>
  <c r="CO48" i="105" s="1"/>
  <c r="CP46" i="105"/>
  <c r="CP48" i="105" s="1"/>
  <c r="CQ46" i="105"/>
  <c r="CR46" i="105"/>
  <c r="CS46" i="105"/>
  <c r="CS48" i="105" s="1"/>
  <c r="CT46" i="105"/>
  <c r="CU46" i="105"/>
  <c r="CY46" i="105"/>
  <c r="DA46" i="105"/>
  <c r="DD46" i="105"/>
  <c r="DE46" i="105"/>
  <c r="DJ46" i="105"/>
  <c r="F38" i="105"/>
  <c r="G38" i="105"/>
  <c r="H38" i="105"/>
  <c r="I38" i="105"/>
  <c r="J38" i="105"/>
  <c r="K38" i="105"/>
  <c r="L38" i="105"/>
  <c r="M38" i="105"/>
  <c r="N38" i="105"/>
  <c r="O38" i="105"/>
  <c r="P38" i="105"/>
  <c r="Q38" i="105"/>
  <c r="R38" i="105"/>
  <c r="S38" i="105"/>
  <c r="T38" i="105"/>
  <c r="U38" i="105"/>
  <c r="V38" i="105"/>
  <c r="W38" i="105"/>
  <c r="X38" i="105"/>
  <c r="Y38" i="105"/>
  <c r="Z38" i="105"/>
  <c r="AA38" i="105"/>
  <c r="AB38" i="105"/>
  <c r="AC38" i="105"/>
  <c r="AD38" i="105"/>
  <c r="AE38" i="105"/>
  <c r="AF38" i="105"/>
  <c r="AG38" i="105"/>
  <c r="AH38" i="105"/>
  <c r="AI38" i="105"/>
  <c r="AJ38" i="105"/>
  <c r="AK38" i="105"/>
  <c r="AL38" i="105"/>
  <c r="AM38" i="105"/>
  <c r="AN38" i="105"/>
  <c r="AO38" i="105"/>
  <c r="AP38" i="105"/>
  <c r="AQ38" i="105"/>
  <c r="AR38" i="105"/>
  <c r="AS38" i="105"/>
  <c r="AT38" i="105"/>
  <c r="AU38" i="105"/>
  <c r="AV38" i="105"/>
  <c r="AW38" i="105"/>
  <c r="AX38" i="105"/>
  <c r="AY38" i="105"/>
  <c r="AZ38" i="105"/>
  <c r="BA38" i="105"/>
  <c r="BB38" i="105"/>
  <c r="BC38" i="105"/>
  <c r="BD38" i="105"/>
  <c r="BE38" i="105"/>
  <c r="BF38" i="105"/>
  <c r="BG38" i="105"/>
  <c r="BH38" i="105"/>
  <c r="BI38" i="105"/>
  <c r="BJ38" i="105"/>
  <c r="BK38" i="105"/>
  <c r="BL38" i="105"/>
  <c r="BM38" i="105"/>
  <c r="BN38" i="105"/>
  <c r="BO38" i="105"/>
  <c r="BP38" i="105"/>
  <c r="BQ38" i="105"/>
  <c r="BR38" i="105"/>
  <c r="BS38" i="105"/>
  <c r="BT38" i="105"/>
  <c r="BU38" i="105"/>
  <c r="BV38" i="105"/>
  <c r="BW38" i="105"/>
  <c r="BX38" i="105"/>
  <c r="BY38" i="105"/>
  <c r="BZ38" i="105"/>
  <c r="CA38" i="105"/>
  <c r="CB38" i="105"/>
  <c r="CC38" i="105"/>
  <c r="CD38" i="105"/>
  <c r="CE38" i="105"/>
  <c r="CF38" i="105"/>
  <c r="CG38" i="105"/>
  <c r="CH38" i="105"/>
  <c r="CI38" i="105"/>
  <c r="CJ38" i="105"/>
  <c r="CK38" i="105"/>
  <c r="CL38" i="105"/>
  <c r="CM38" i="105"/>
  <c r="CN38" i="105"/>
  <c r="CO38" i="105"/>
  <c r="CP38" i="105"/>
  <c r="CQ38" i="105"/>
  <c r="CR38" i="105"/>
  <c r="CS38" i="105"/>
  <c r="CT38" i="105"/>
  <c r="CU38" i="105"/>
  <c r="CY38" i="105"/>
  <c r="CZ38" i="105"/>
  <c r="DB38" i="105"/>
  <c r="DC38" i="105"/>
  <c r="DD38" i="105"/>
  <c r="DE38" i="105"/>
  <c r="DH38" i="105"/>
  <c r="DI38" i="105"/>
  <c r="DJ38" i="105"/>
  <c r="F37" i="105"/>
  <c r="G37" i="105"/>
  <c r="H37" i="105"/>
  <c r="I37" i="105"/>
  <c r="J37" i="105"/>
  <c r="K37" i="105"/>
  <c r="L37" i="105"/>
  <c r="M37" i="105"/>
  <c r="N37" i="105"/>
  <c r="O37" i="105"/>
  <c r="P37" i="105"/>
  <c r="Q37" i="105"/>
  <c r="R37" i="105"/>
  <c r="S37" i="105"/>
  <c r="T37" i="105"/>
  <c r="U37" i="105"/>
  <c r="V37" i="105"/>
  <c r="W37" i="105"/>
  <c r="X37" i="105"/>
  <c r="Y37" i="105"/>
  <c r="Z37" i="105"/>
  <c r="AA37" i="105"/>
  <c r="AB37" i="105"/>
  <c r="AC37" i="105"/>
  <c r="AD37" i="105"/>
  <c r="AE37" i="105"/>
  <c r="AF37" i="105"/>
  <c r="AG37" i="105"/>
  <c r="AH37" i="105"/>
  <c r="AI37" i="105"/>
  <c r="AJ37" i="105"/>
  <c r="AK37" i="105"/>
  <c r="AL37" i="105"/>
  <c r="AM37" i="105"/>
  <c r="AN37" i="105"/>
  <c r="AO37" i="105"/>
  <c r="AP37" i="105"/>
  <c r="AQ37" i="105"/>
  <c r="AR37" i="105"/>
  <c r="AS37" i="105"/>
  <c r="AT37" i="105"/>
  <c r="AU37" i="105"/>
  <c r="AV37" i="105"/>
  <c r="AW37" i="105"/>
  <c r="AX37" i="105"/>
  <c r="AY37" i="105"/>
  <c r="AZ37" i="105"/>
  <c r="BA37" i="105"/>
  <c r="BB37" i="105"/>
  <c r="BC37" i="105"/>
  <c r="BD37" i="105"/>
  <c r="BE37" i="105"/>
  <c r="BF37" i="105"/>
  <c r="BG37" i="105"/>
  <c r="BH37" i="105"/>
  <c r="BI37" i="105"/>
  <c r="BJ37" i="105"/>
  <c r="BK37" i="105"/>
  <c r="BL37" i="105"/>
  <c r="BM37" i="105"/>
  <c r="BN37" i="105"/>
  <c r="BO37" i="105"/>
  <c r="BP37" i="105"/>
  <c r="BQ37" i="105"/>
  <c r="BR37" i="105"/>
  <c r="BS37" i="105"/>
  <c r="BT37" i="105"/>
  <c r="BU37" i="105"/>
  <c r="BV37" i="105"/>
  <c r="BW37" i="105"/>
  <c r="BX37" i="105"/>
  <c r="BY37" i="105"/>
  <c r="BZ37" i="105"/>
  <c r="CA37" i="105"/>
  <c r="CB37" i="105"/>
  <c r="CC37" i="105"/>
  <c r="CD37" i="105"/>
  <c r="CE37" i="105"/>
  <c r="CF37" i="105"/>
  <c r="CG37" i="105"/>
  <c r="CH37" i="105"/>
  <c r="CI37" i="105"/>
  <c r="CJ37" i="105"/>
  <c r="CK37" i="105"/>
  <c r="CL37" i="105"/>
  <c r="CM37" i="105"/>
  <c r="CN37" i="105"/>
  <c r="CO37" i="105"/>
  <c r="CP37" i="105"/>
  <c r="CQ37" i="105"/>
  <c r="CR37" i="105"/>
  <c r="CS37" i="105"/>
  <c r="CT37" i="105"/>
  <c r="CU37" i="105"/>
  <c r="CY37" i="105"/>
  <c r="DA37" i="105"/>
  <c r="DD37" i="105"/>
  <c r="DE37" i="105"/>
  <c r="DG37" i="105"/>
  <c r="DJ37" i="105"/>
  <c r="F27" i="105"/>
  <c r="H27" i="105"/>
  <c r="I27" i="105"/>
  <c r="K27" i="105"/>
  <c r="L27" i="105"/>
  <c r="N27" i="105"/>
  <c r="O27" i="105"/>
  <c r="Q27" i="105"/>
  <c r="R27" i="105"/>
  <c r="T27" i="105"/>
  <c r="U27" i="105"/>
  <c r="W27" i="105"/>
  <c r="X27" i="105"/>
  <c r="Y27" i="105"/>
  <c r="Z27" i="105"/>
  <c r="AA27" i="105"/>
  <c r="AC27" i="105"/>
  <c r="AD27" i="105"/>
  <c r="AF27" i="105"/>
  <c r="AG27" i="105"/>
  <c r="AH27" i="105"/>
  <c r="AI27" i="105"/>
  <c r="AJ27" i="105"/>
  <c r="AL27" i="105"/>
  <c r="AM27" i="105"/>
  <c r="AN27" i="105"/>
  <c r="AO27" i="105"/>
  <c r="AP27" i="105"/>
  <c r="AQ27" i="105"/>
  <c r="AR27" i="105"/>
  <c r="AS27" i="105"/>
  <c r="AT27" i="105"/>
  <c r="AU27" i="105"/>
  <c r="AV27" i="105"/>
  <c r="AW27" i="105"/>
  <c r="AX27" i="105"/>
  <c r="AY27" i="105"/>
  <c r="BA27" i="105"/>
  <c r="BB27" i="105"/>
  <c r="BD27" i="105"/>
  <c r="BE27" i="105"/>
  <c r="BH27" i="105"/>
  <c r="BI27" i="105"/>
  <c r="BK27" i="105"/>
  <c r="BL27" i="105"/>
  <c r="BM27" i="105"/>
  <c r="BN27" i="105"/>
  <c r="BQ27" i="105"/>
  <c r="BR27" i="105"/>
  <c r="BS27" i="105"/>
  <c r="BT27" i="105"/>
  <c r="BV27" i="105"/>
  <c r="BW27" i="105"/>
  <c r="BX27" i="105"/>
  <c r="BY27" i="105"/>
  <c r="BZ27" i="105"/>
  <c r="CC27" i="105"/>
  <c r="CE27" i="105"/>
  <c r="CF27" i="105"/>
  <c r="CH27" i="105"/>
  <c r="CI27" i="105"/>
  <c r="CL27" i="105"/>
  <c r="CN27" i="105"/>
  <c r="CQ27" i="105"/>
  <c r="CR27" i="105"/>
  <c r="CU27" i="105"/>
  <c r="CY27" i="105"/>
  <c r="DA27" i="105"/>
  <c r="DB27" i="105"/>
  <c r="DC27" i="105"/>
  <c r="DD27" i="105"/>
  <c r="DE27" i="105"/>
  <c r="DG27" i="105"/>
  <c r="DH27" i="105"/>
  <c r="DI27" i="105"/>
  <c r="DJ27" i="105"/>
  <c r="F21" i="105"/>
  <c r="G21" i="105"/>
  <c r="H21" i="105"/>
  <c r="I21" i="105"/>
  <c r="J21" i="105"/>
  <c r="K21" i="105"/>
  <c r="L21" i="105"/>
  <c r="M21" i="105"/>
  <c r="N21" i="105"/>
  <c r="O21" i="105"/>
  <c r="P21" i="105"/>
  <c r="Q21" i="105"/>
  <c r="R21" i="105"/>
  <c r="S21" i="105"/>
  <c r="T21" i="105"/>
  <c r="U21" i="105"/>
  <c r="V21" i="105"/>
  <c r="W21" i="105"/>
  <c r="X21" i="105"/>
  <c r="Y21" i="105"/>
  <c r="Z21" i="105"/>
  <c r="AA21" i="105"/>
  <c r="AB21" i="105"/>
  <c r="AC21" i="105"/>
  <c r="AD21" i="105"/>
  <c r="AE21" i="105"/>
  <c r="AF21" i="105"/>
  <c r="AG21" i="105"/>
  <c r="AH21" i="105"/>
  <c r="AI21" i="105"/>
  <c r="AJ21" i="105"/>
  <c r="AK21" i="105"/>
  <c r="AL21" i="105"/>
  <c r="AM21" i="105"/>
  <c r="AN21" i="105"/>
  <c r="AO21" i="105"/>
  <c r="AP21" i="105"/>
  <c r="AQ21" i="105"/>
  <c r="AR21" i="105"/>
  <c r="AS21" i="105"/>
  <c r="AT21" i="105"/>
  <c r="AU21" i="105"/>
  <c r="AV21" i="105"/>
  <c r="AW21" i="105"/>
  <c r="AX21" i="105"/>
  <c r="AY21" i="105"/>
  <c r="AZ21" i="105"/>
  <c r="BA21" i="105"/>
  <c r="BB21" i="105"/>
  <c r="BC21" i="105"/>
  <c r="BD21" i="105"/>
  <c r="BE21" i="105"/>
  <c r="BF21" i="105"/>
  <c r="BG21" i="105"/>
  <c r="BH21" i="105"/>
  <c r="BI21" i="105"/>
  <c r="BJ21" i="105"/>
  <c r="BK21" i="105"/>
  <c r="BL21" i="105"/>
  <c r="BM21" i="105"/>
  <c r="BN21" i="105"/>
  <c r="BO21" i="105"/>
  <c r="BP21" i="105"/>
  <c r="BQ21" i="105"/>
  <c r="BR21" i="105"/>
  <c r="BS21" i="105"/>
  <c r="BT21" i="105"/>
  <c r="BU21" i="105"/>
  <c r="BV21" i="105"/>
  <c r="BW21" i="105"/>
  <c r="BX21" i="105"/>
  <c r="BY21" i="105"/>
  <c r="BZ21" i="105"/>
  <c r="CA21" i="105"/>
  <c r="CB21" i="105"/>
  <c r="CC21" i="105"/>
  <c r="CD21" i="105"/>
  <c r="CE21" i="105"/>
  <c r="CF21" i="105"/>
  <c r="CG21" i="105"/>
  <c r="CH21" i="105"/>
  <c r="CI21" i="105"/>
  <c r="CJ21" i="105"/>
  <c r="CK21" i="105"/>
  <c r="CL21" i="105"/>
  <c r="CM21" i="105"/>
  <c r="CN21" i="105"/>
  <c r="CO21" i="105"/>
  <c r="CP21" i="105"/>
  <c r="CQ21" i="105"/>
  <c r="CR21" i="105"/>
  <c r="CS21" i="105"/>
  <c r="CT21" i="105"/>
  <c r="CU21" i="105"/>
  <c r="CY21" i="105"/>
  <c r="DA21" i="105"/>
  <c r="DB21" i="105"/>
  <c r="DC21" i="105"/>
  <c r="DD21" i="105"/>
  <c r="DE21" i="105"/>
  <c r="DG21" i="105"/>
  <c r="DH21" i="105"/>
  <c r="DI21" i="105"/>
  <c r="DJ21" i="105"/>
  <c r="F18" i="105"/>
  <c r="G18" i="105"/>
  <c r="G28" i="105" s="1"/>
  <c r="H18" i="105"/>
  <c r="H28" i="105" s="1"/>
  <c r="I18" i="105"/>
  <c r="J18" i="105"/>
  <c r="J28" i="105" s="1"/>
  <c r="K18" i="105"/>
  <c r="K28" i="105" s="1"/>
  <c r="L18" i="105"/>
  <c r="L28" i="105" s="1"/>
  <c r="M18" i="105"/>
  <c r="M28" i="105" s="1"/>
  <c r="N18" i="105"/>
  <c r="N28" i="105" s="1"/>
  <c r="O18" i="105"/>
  <c r="O28" i="105" s="1"/>
  <c r="P18" i="105"/>
  <c r="P28" i="105" s="1"/>
  <c r="Q18" i="105"/>
  <c r="R18" i="105"/>
  <c r="R28" i="105" s="1"/>
  <c r="S18" i="105"/>
  <c r="S28" i="105" s="1"/>
  <c r="T18" i="105"/>
  <c r="T28" i="105" s="1"/>
  <c r="U18" i="105"/>
  <c r="V18" i="105"/>
  <c r="V28" i="105" s="1"/>
  <c r="W18" i="105"/>
  <c r="W28" i="105" s="1"/>
  <c r="X18" i="105"/>
  <c r="X28" i="105" s="1"/>
  <c r="Y18" i="105"/>
  <c r="Y28" i="105" s="1"/>
  <c r="Z18" i="105"/>
  <c r="Z28" i="105" s="1"/>
  <c r="AA18" i="105"/>
  <c r="AA28" i="105" s="1"/>
  <c r="AB18" i="105"/>
  <c r="AB28" i="105" s="1"/>
  <c r="AC18" i="105"/>
  <c r="AD18" i="105"/>
  <c r="AD28" i="105" s="1"/>
  <c r="AE18" i="105"/>
  <c r="AE28" i="105" s="1"/>
  <c r="AF18" i="105"/>
  <c r="AF28" i="105" s="1"/>
  <c r="AG18" i="105"/>
  <c r="AG28" i="105" s="1"/>
  <c r="AH18" i="105"/>
  <c r="AH28" i="105" s="1"/>
  <c r="AH29" i="105" s="1"/>
  <c r="AI18" i="105"/>
  <c r="AI28" i="105" s="1"/>
  <c r="AJ18" i="105"/>
  <c r="AJ28" i="105" s="1"/>
  <c r="AK18" i="105"/>
  <c r="AK28" i="105" s="1"/>
  <c r="AL18" i="105"/>
  <c r="AL28" i="105" s="1"/>
  <c r="AM18" i="105"/>
  <c r="AM28" i="105" s="1"/>
  <c r="AN18" i="105"/>
  <c r="AN28" i="105" s="1"/>
  <c r="AO18" i="105"/>
  <c r="AO28" i="105" s="1"/>
  <c r="AP18" i="105"/>
  <c r="AP28" i="105" s="1"/>
  <c r="AS18" i="105"/>
  <c r="AU18" i="105"/>
  <c r="AU28" i="105" s="1"/>
  <c r="AV18" i="105"/>
  <c r="AV28" i="105" s="1"/>
  <c r="AW18" i="105"/>
  <c r="AW28" i="105" s="1"/>
  <c r="AX18" i="105"/>
  <c r="AX28" i="105" s="1"/>
  <c r="AY18" i="105"/>
  <c r="AY28" i="105" s="1"/>
  <c r="AZ18" i="105"/>
  <c r="AZ28" i="105" s="1"/>
  <c r="BA18" i="105"/>
  <c r="BA28" i="105" s="1"/>
  <c r="BB18" i="105"/>
  <c r="BB28" i="105" s="1"/>
  <c r="BC18" i="105"/>
  <c r="BC28" i="105" s="1"/>
  <c r="BD18" i="105"/>
  <c r="BD28" i="105" s="1"/>
  <c r="BE18" i="105"/>
  <c r="BE28" i="105" s="1"/>
  <c r="BF18" i="105"/>
  <c r="BF28" i="105" s="1"/>
  <c r="BG18" i="105"/>
  <c r="BH18" i="105"/>
  <c r="BH28" i="105" s="1"/>
  <c r="BI18" i="105"/>
  <c r="BI28" i="105" s="1"/>
  <c r="BJ18" i="105"/>
  <c r="BJ28" i="105" s="1"/>
  <c r="BK18" i="105"/>
  <c r="BK20" i="105" s="1"/>
  <c r="BK58" i="105" s="1"/>
  <c r="BL18" i="105"/>
  <c r="BL28" i="105" s="1"/>
  <c r="BM18" i="105"/>
  <c r="BM28" i="105" s="1"/>
  <c r="BN18" i="105"/>
  <c r="BN28" i="105" s="1"/>
  <c r="BO18" i="105"/>
  <c r="BO28" i="105" s="1"/>
  <c r="BP18" i="105"/>
  <c r="BP28" i="105" s="1"/>
  <c r="BQ18" i="105"/>
  <c r="BQ28" i="105" s="1"/>
  <c r="BR18" i="105"/>
  <c r="BS18" i="105"/>
  <c r="BT18" i="105"/>
  <c r="BT28" i="105" s="1"/>
  <c r="BV18" i="105"/>
  <c r="BV28" i="105" s="1"/>
  <c r="BW18" i="105"/>
  <c r="BW28" i="105" s="1"/>
  <c r="BX18" i="105"/>
  <c r="BX28" i="105" s="1"/>
  <c r="BX29" i="105" s="1"/>
  <c r="BY18" i="105"/>
  <c r="BY28" i="105" s="1"/>
  <c r="BZ18" i="105"/>
  <c r="BZ28" i="105" s="1"/>
  <c r="CA18" i="105"/>
  <c r="CB18" i="105"/>
  <c r="CB28" i="105" s="1"/>
  <c r="CC18" i="105"/>
  <c r="CC28" i="105" s="1"/>
  <c r="CD18" i="105"/>
  <c r="CD28" i="105" s="1"/>
  <c r="CE18" i="105"/>
  <c r="CE28" i="105" s="1"/>
  <c r="CE29" i="105" s="1"/>
  <c r="CF18" i="105"/>
  <c r="CF28" i="105" s="1"/>
  <c r="CG18" i="105"/>
  <c r="CG28" i="105" s="1"/>
  <c r="CH18" i="105"/>
  <c r="CH28" i="105" s="1"/>
  <c r="CI18" i="105"/>
  <c r="CI28" i="105" s="1"/>
  <c r="CJ18" i="105"/>
  <c r="CJ28" i="105" s="1"/>
  <c r="CK18" i="105"/>
  <c r="CL18" i="105"/>
  <c r="CL28" i="105" s="1"/>
  <c r="CM18" i="105"/>
  <c r="CM28" i="105" s="1"/>
  <c r="CN18" i="105"/>
  <c r="CN28" i="105" s="1"/>
  <c r="CO18" i="105"/>
  <c r="CO28" i="105" s="1"/>
  <c r="CP18" i="105"/>
  <c r="CP28" i="105" s="1"/>
  <c r="CQ18" i="105"/>
  <c r="CR18" i="105"/>
  <c r="CR28" i="105" s="1"/>
  <c r="CS18" i="105"/>
  <c r="CS28" i="105" s="1"/>
  <c r="CT18" i="105"/>
  <c r="CT28" i="105" s="1"/>
  <c r="CU18" i="105"/>
  <c r="CU28" i="105" s="1"/>
  <c r="CU29" i="105" s="1"/>
  <c r="CY18" i="105"/>
  <c r="CY28" i="105" s="1"/>
  <c r="CZ18" i="105"/>
  <c r="CZ28" i="105" s="1"/>
  <c r="DA18" i="105"/>
  <c r="DA28" i="105" s="1"/>
  <c r="DB18" i="105"/>
  <c r="DB28" i="105" s="1"/>
  <c r="DC18" i="105"/>
  <c r="DC28" i="105" s="1"/>
  <c r="DD18" i="105"/>
  <c r="DE18" i="105"/>
  <c r="DE28" i="105" s="1"/>
  <c r="DF18" i="105"/>
  <c r="DF28" i="105" s="1"/>
  <c r="DG18" i="105"/>
  <c r="DG28" i="105" s="1"/>
  <c r="DH18" i="105"/>
  <c r="DH28" i="105" s="1"/>
  <c r="DI18" i="105"/>
  <c r="DI28" i="105" s="1"/>
  <c r="DJ18" i="105"/>
  <c r="F12" i="105"/>
  <c r="F62" i="105" s="1"/>
  <c r="G12" i="105"/>
  <c r="G62" i="105" s="1"/>
  <c r="H12" i="105"/>
  <c r="H62" i="105" s="1"/>
  <c r="I12" i="105"/>
  <c r="I62" i="105" s="1"/>
  <c r="J12" i="105"/>
  <c r="J62" i="105" s="1"/>
  <c r="K12" i="105"/>
  <c r="K62" i="105" s="1"/>
  <c r="L12" i="105"/>
  <c r="L62" i="105" s="1"/>
  <c r="M12" i="105"/>
  <c r="M62" i="105" s="1"/>
  <c r="N12" i="105"/>
  <c r="N62" i="105" s="1"/>
  <c r="O12" i="105"/>
  <c r="O62" i="105" s="1"/>
  <c r="P12" i="105"/>
  <c r="P62" i="105" s="1"/>
  <c r="Q12" i="105"/>
  <c r="Q62" i="105" s="1"/>
  <c r="R12" i="105"/>
  <c r="R62" i="105" s="1"/>
  <c r="S12" i="105"/>
  <c r="S62" i="105" s="1"/>
  <c r="T12" i="105"/>
  <c r="T62" i="105" s="1"/>
  <c r="U12" i="105"/>
  <c r="U62" i="105" s="1"/>
  <c r="V12" i="105"/>
  <c r="V62" i="105" s="1"/>
  <c r="W12" i="105"/>
  <c r="W62" i="105" s="1"/>
  <c r="X12" i="105"/>
  <c r="X62" i="105" s="1"/>
  <c r="Y12" i="105"/>
  <c r="Y62" i="105" s="1"/>
  <c r="Z12" i="105"/>
  <c r="Z62" i="105" s="1"/>
  <c r="AA12" i="105"/>
  <c r="AA62" i="105" s="1"/>
  <c r="AB12" i="105"/>
  <c r="AB62" i="105" s="1"/>
  <c r="AC12" i="105"/>
  <c r="AC62" i="105" s="1"/>
  <c r="AD12" i="105"/>
  <c r="AD62" i="105" s="1"/>
  <c r="AE12" i="105"/>
  <c r="AE62" i="105" s="1"/>
  <c r="AF12" i="105"/>
  <c r="AF62" i="105" s="1"/>
  <c r="AG12" i="105"/>
  <c r="AG62" i="105" s="1"/>
  <c r="AH12" i="105"/>
  <c r="AH62" i="105" s="1"/>
  <c r="AI12" i="105"/>
  <c r="AI62" i="105" s="1"/>
  <c r="AJ12" i="105"/>
  <c r="AJ62" i="105" s="1"/>
  <c r="AK12" i="105"/>
  <c r="AK62" i="105" s="1"/>
  <c r="AL12" i="105"/>
  <c r="AL62" i="105" s="1"/>
  <c r="AM12" i="105"/>
  <c r="AM62" i="105" s="1"/>
  <c r="AN12" i="105"/>
  <c r="AN62" i="105" s="1"/>
  <c r="AO12" i="105"/>
  <c r="AO62" i="105" s="1"/>
  <c r="AP12" i="105"/>
  <c r="AP62" i="105" s="1"/>
  <c r="AQ12" i="105"/>
  <c r="AQ62" i="105" s="1"/>
  <c r="AR12" i="105"/>
  <c r="AS12" i="105"/>
  <c r="AS62" i="105" s="1"/>
  <c r="AT12" i="105"/>
  <c r="AT62" i="105" s="1"/>
  <c r="AU12" i="105"/>
  <c r="AU62" i="105" s="1"/>
  <c r="AV12" i="105"/>
  <c r="AV62" i="105" s="1"/>
  <c r="AW12" i="105"/>
  <c r="AW62" i="105" s="1"/>
  <c r="AX12" i="105"/>
  <c r="AY12" i="105"/>
  <c r="AY62" i="105" s="1"/>
  <c r="BA12" i="105"/>
  <c r="BA62" i="105" s="1"/>
  <c r="BB20" i="105"/>
  <c r="BB58" i="105" s="1"/>
  <c r="BD12" i="105"/>
  <c r="BD62" i="105" s="1"/>
  <c r="BE12" i="105"/>
  <c r="BE62" i="105" s="1"/>
  <c r="BH12" i="105"/>
  <c r="BH62" i="105" s="1"/>
  <c r="BI12" i="105"/>
  <c r="BI62" i="105" s="1"/>
  <c r="BL12" i="105"/>
  <c r="BL62" i="105" s="1"/>
  <c r="BM12" i="105"/>
  <c r="BM62" i="105" s="1"/>
  <c r="BN12" i="105"/>
  <c r="BN62" i="105" s="1"/>
  <c r="BQ12" i="105"/>
  <c r="BQ62" i="105" s="1"/>
  <c r="BR12" i="105"/>
  <c r="BR62" i="105" s="1"/>
  <c r="BS12" i="105"/>
  <c r="BS62" i="105" s="1"/>
  <c r="BT12" i="105"/>
  <c r="BT62" i="105" s="1"/>
  <c r="BV12" i="105"/>
  <c r="BV62" i="105" s="1"/>
  <c r="BW12" i="105"/>
  <c r="BW62" i="105" s="1"/>
  <c r="BX12" i="105"/>
  <c r="BX62" i="105" s="1"/>
  <c r="BY12" i="105"/>
  <c r="BY62" i="105" s="1"/>
  <c r="BZ12" i="105"/>
  <c r="BZ62" i="105" s="1"/>
  <c r="CC12" i="105"/>
  <c r="CC62" i="105" s="1"/>
  <c r="CE12" i="105"/>
  <c r="CE62" i="105" s="1"/>
  <c r="CF12" i="105"/>
  <c r="CF62" i="105" s="1"/>
  <c r="CH12" i="105"/>
  <c r="CH62" i="105" s="1"/>
  <c r="CI12" i="105"/>
  <c r="CL12" i="105"/>
  <c r="CL62" i="105" s="1"/>
  <c r="CN12" i="105"/>
  <c r="CN62" i="105" s="1"/>
  <c r="CO12" i="105"/>
  <c r="CO62" i="105" s="1"/>
  <c r="CP12" i="105"/>
  <c r="CP62" i="105" s="1"/>
  <c r="CQ12" i="105"/>
  <c r="CQ62" i="105" s="1"/>
  <c r="CR12" i="105"/>
  <c r="CR62" i="105" s="1"/>
  <c r="CU12" i="105"/>
  <c r="CU62" i="105" s="1"/>
  <c r="CY12" i="105"/>
  <c r="CY62" i="105" s="1"/>
  <c r="CZ12" i="105"/>
  <c r="CZ62" i="105" s="1"/>
  <c r="DA12" i="105"/>
  <c r="DB12" i="105"/>
  <c r="DB62" i="105" s="1"/>
  <c r="DC12" i="105"/>
  <c r="DC62" i="105" s="1"/>
  <c r="DD12" i="105"/>
  <c r="DD62" i="105" s="1"/>
  <c r="DE12" i="105"/>
  <c r="DF12" i="105"/>
  <c r="DF62" i="105" s="1"/>
  <c r="DG12" i="105"/>
  <c r="DG62" i="105" s="1"/>
  <c r="DH12" i="105"/>
  <c r="DH62" i="105" s="1"/>
  <c r="DI12" i="105"/>
  <c r="DI62" i="105" s="1"/>
  <c r="DJ12" i="105"/>
  <c r="DJ62" i="105" s="1"/>
  <c r="F47" i="23"/>
  <c r="G47" i="23"/>
  <c r="H47" i="23"/>
  <c r="I47" i="23"/>
  <c r="J47" i="23"/>
  <c r="K47" i="23"/>
  <c r="L47" i="23"/>
  <c r="M47" i="23"/>
  <c r="N47" i="23"/>
  <c r="O47" i="23"/>
  <c r="P47" i="23"/>
  <c r="Q47" i="23"/>
  <c r="R47" i="23"/>
  <c r="S47" i="23"/>
  <c r="T47" i="23"/>
  <c r="U47" i="23"/>
  <c r="V47" i="23"/>
  <c r="W47" i="23"/>
  <c r="X47" i="23"/>
  <c r="Y47" i="23"/>
  <c r="Z47" i="23"/>
  <c r="AA47" i="23"/>
  <c r="AB47" i="23"/>
  <c r="AC47" i="23"/>
  <c r="AD47" i="23"/>
  <c r="AE47" i="23"/>
  <c r="AF47" i="23"/>
  <c r="AG47" i="23"/>
  <c r="AH47" i="23"/>
  <c r="AJ47" i="23"/>
  <c r="AM47" i="23"/>
  <c r="AP47" i="23"/>
  <c r="AQ47" i="23"/>
  <c r="AR47" i="23"/>
  <c r="AS47" i="23"/>
  <c r="AT47" i="23"/>
  <c r="AU47" i="23"/>
  <c r="AV47" i="23"/>
  <c r="AW47" i="23"/>
  <c r="AX47" i="23"/>
  <c r="AY47" i="23"/>
  <c r="AZ47" i="23"/>
  <c r="BA47" i="23"/>
  <c r="BB47" i="23"/>
  <c r="BC47" i="23"/>
  <c r="BD47" i="23"/>
  <c r="BE47" i="23"/>
  <c r="BF47" i="23"/>
  <c r="BG47" i="23"/>
  <c r="BH47" i="23"/>
  <c r="BI47" i="23"/>
  <c r="BJ47" i="23"/>
  <c r="BK47" i="23"/>
  <c r="BL47" i="23"/>
  <c r="BM47" i="23"/>
  <c r="BN47" i="23"/>
  <c r="BO47" i="23"/>
  <c r="BP47" i="23"/>
  <c r="BQ47" i="23"/>
  <c r="BR47" i="23"/>
  <c r="BS47" i="23"/>
  <c r="BT47" i="23"/>
  <c r="BU47" i="23"/>
  <c r="BV47" i="23"/>
  <c r="BW47" i="23"/>
  <c r="BX47" i="23"/>
  <c r="BY47" i="23"/>
  <c r="BZ47" i="23"/>
  <c r="CA47" i="23"/>
  <c r="CB47" i="23"/>
  <c r="CC47" i="23"/>
  <c r="CD47" i="23"/>
  <c r="CE47" i="23"/>
  <c r="CF47" i="23"/>
  <c r="CG47" i="23"/>
  <c r="CH47" i="23"/>
  <c r="CI47" i="23"/>
  <c r="CJ47" i="23"/>
  <c r="CK47" i="23"/>
  <c r="CL47" i="23"/>
  <c r="CM47" i="23"/>
  <c r="CN47" i="23"/>
  <c r="CO47" i="23"/>
  <c r="CP47" i="23"/>
  <c r="CQ47" i="23"/>
  <c r="CR47" i="23"/>
  <c r="CS47" i="23"/>
  <c r="CT47" i="23"/>
  <c r="CU47" i="23"/>
  <c r="CV47" i="23"/>
  <c r="CW47" i="23"/>
  <c r="CX47" i="23"/>
  <c r="CY47" i="23"/>
  <c r="CZ47" i="23"/>
  <c r="DA47" i="23"/>
  <c r="DB47" i="23"/>
  <c r="DC47" i="23"/>
  <c r="DD47" i="23"/>
  <c r="DE47" i="23"/>
  <c r="DF47" i="23"/>
  <c r="DG47" i="23"/>
  <c r="DH47" i="23"/>
  <c r="DI47" i="23"/>
  <c r="DJ47" i="23"/>
  <c r="DK47" i="23"/>
  <c r="DL47" i="23"/>
  <c r="DM47" i="23"/>
  <c r="DN47" i="23"/>
  <c r="DO47" i="23"/>
  <c r="DP47" i="23"/>
  <c r="DQ47" i="23"/>
  <c r="DR47" i="23"/>
  <c r="DS47" i="23"/>
  <c r="DT47" i="23"/>
  <c r="DU47" i="23"/>
  <c r="DV47" i="23"/>
  <c r="DW47" i="23"/>
  <c r="DX47" i="23"/>
  <c r="DY47" i="23"/>
  <c r="DZ47" i="23"/>
  <c r="EA47" i="23"/>
  <c r="EB47" i="23"/>
  <c r="EC47" i="23"/>
  <c r="ED47" i="23"/>
  <c r="EE47" i="23"/>
  <c r="EF47" i="23"/>
  <c r="EG47" i="23"/>
  <c r="EH47" i="23"/>
  <c r="EI47" i="23"/>
  <c r="EJ47" i="23"/>
  <c r="EK47" i="23"/>
  <c r="EL47" i="23"/>
  <c r="EM47" i="23"/>
  <c r="EN47" i="23"/>
  <c r="EO47" i="23"/>
  <c r="EP47" i="23"/>
  <c r="EQ47" i="23"/>
  <c r="ER47" i="23"/>
  <c r="ES47" i="23"/>
  <c r="ET47" i="23"/>
  <c r="EU47" i="23"/>
  <c r="EV47" i="23"/>
  <c r="EW47" i="23"/>
  <c r="EX47" i="23"/>
  <c r="EY47" i="23"/>
  <c r="EZ47" i="23"/>
  <c r="FA47" i="23"/>
  <c r="FB47" i="23"/>
  <c r="FC47" i="23"/>
  <c r="FD47" i="23"/>
  <c r="FE47" i="23"/>
  <c r="FF47" i="23"/>
  <c r="FG47" i="23"/>
  <c r="FH47" i="23"/>
  <c r="FI47" i="23"/>
  <c r="FJ47" i="23"/>
  <c r="FK47" i="23"/>
  <c r="FL47" i="23"/>
  <c r="FM47" i="23"/>
  <c r="FN47" i="23"/>
  <c r="FO47" i="23"/>
  <c r="FP47" i="23"/>
  <c r="FQ47" i="23"/>
  <c r="FR47" i="23"/>
  <c r="FS47" i="23"/>
  <c r="FT47" i="23"/>
  <c r="FU47" i="23"/>
  <c r="FV47" i="23"/>
  <c r="FW47" i="23"/>
  <c r="FX47" i="23"/>
  <c r="FY47" i="23"/>
  <c r="FZ47" i="23"/>
  <c r="GA47" i="23"/>
  <c r="GB47" i="23"/>
  <c r="GC47" i="23"/>
  <c r="GD47" i="23"/>
  <c r="GE47" i="23"/>
  <c r="GF47" i="23"/>
  <c r="GG47" i="23"/>
  <c r="GH47" i="23"/>
  <c r="GI47" i="23"/>
  <c r="GJ47" i="23"/>
  <c r="GN47" i="23"/>
  <c r="GO47" i="23"/>
  <c r="GP47" i="23"/>
  <c r="GQ47" i="23"/>
  <c r="GR47" i="23"/>
  <c r="GS47" i="23"/>
  <c r="GW47" i="23"/>
  <c r="GX47" i="23"/>
  <c r="GY47" i="23"/>
  <c r="GZ47" i="23"/>
  <c r="HA47" i="23"/>
  <c r="HB47" i="23"/>
  <c r="HC47" i="23"/>
  <c r="HD47" i="23"/>
  <c r="HE47" i="23"/>
  <c r="HF47" i="23"/>
  <c r="HG47" i="23"/>
  <c r="HH47" i="23"/>
  <c r="HI47" i="23"/>
  <c r="HJ47" i="23"/>
  <c r="HK47" i="23"/>
  <c r="HL47" i="23"/>
  <c r="HM47" i="23"/>
  <c r="HN47" i="23"/>
  <c r="HO47" i="23"/>
  <c r="HP47" i="23"/>
  <c r="HQ47" i="23"/>
  <c r="HR47" i="23"/>
  <c r="HS47" i="23"/>
  <c r="HT47" i="23"/>
  <c r="HU47" i="23"/>
  <c r="HV47" i="23"/>
  <c r="HW47" i="23"/>
  <c r="HX47" i="23"/>
  <c r="HY47" i="23"/>
  <c r="HZ47" i="23"/>
  <c r="IA47" i="23"/>
  <c r="IB47" i="23"/>
  <c r="IC47" i="23"/>
  <c r="ID47" i="23"/>
  <c r="IE47" i="23"/>
  <c r="IF47" i="23"/>
  <c r="IG47" i="23"/>
  <c r="IH47" i="23"/>
  <c r="II47" i="23"/>
  <c r="IJ47" i="23"/>
  <c r="IK47" i="23"/>
  <c r="IL47" i="23"/>
  <c r="IM47" i="23"/>
  <c r="IN47" i="23"/>
  <c r="IO47" i="23"/>
  <c r="IP47" i="23"/>
  <c r="IQ47" i="23"/>
  <c r="IR47" i="23"/>
  <c r="IS47" i="23"/>
  <c r="IT47" i="23"/>
  <c r="IU47" i="23"/>
  <c r="IV47" i="23"/>
  <c r="IW47" i="23"/>
  <c r="IX47" i="23"/>
  <c r="IY47" i="23"/>
  <c r="IZ47" i="23"/>
  <c r="JA47" i="23"/>
  <c r="JB47" i="23"/>
  <c r="JC47" i="23"/>
  <c r="JD47" i="23"/>
  <c r="JE47" i="23"/>
  <c r="JF47" i="23"/>
  <c r="JG47" i="23"/>
  <c r="JH47" i="23"/>
  <c r="JI47" i="23"/>
  <c r="JJ47" i="23"/>
  <c r="JK47" i="23"/>
  <c r="JL47" i="23"/>
  <c r="JM47" i="23"/>
  <c r="JN47" i="23"/>
  <c r="JO47" i="23"/>
  <c r="JP47" i="23"/>
  <c r="JQ47" i="23"/>
  <c r="JR47" i="23"/>
  <c r="JS47" i="23"/>
  <c r="JT47" i="23"/>
  <c r="JU47" i="23"/>
  <c r="JV47" i="23"/>
  <c r="JW47" i="23"/>
  <c r="JX47" i="23"/>
  <c r="JY47" i="23"/>
  <c r="JZ47" i="23"/>
  <c r="KA47" i="23"/>
  <c r="KB47" i="23"/>
  <c r="KC47" i="23"/>
  <c r="KD47" i="23"/>
  <c r="KE47" i="23"/>
  <c r="KF47" i="23"/>
  <c r="KG47" i="23"/>
  <c r="KH47" i="23"/>
  <c r="KI47" i="23"/>
  <c r="KJ47" i="23"/>
  <c r="KK47" i="23"/>
  <c r="KL47" i="23"/>
  <c r="KM47" i="23"/>
  <c r="KN47" i="23"/>
  <c r="KO47" i="23"/>
  <c r="KP47" i="23"/>
  <c r="KQ47" i="23"/>
  <c r="KR47" i="23"/>
  <c r="KS47" i="23"/>
  <c r="KT47" i="23"/>
  <c r="KU47" i="23"/>
  <c r="KV47" i="23"/>
  <c r="KW47" i="23"/>
  <c r="KX47" i="23"/>
  <c r="KY47" i="23"/>
  <c r="KZ47" i="23"/>
  <c r="LA47" i="23"/>
  <c r="LB47" i="23"/>
  <c r="LC47" i="23"/>
  <c r="LD47" i="23"/>
  <c r="LE47" i="23"/>
  <c r="LF47" i="23"/>
  <c r="LG47" i="23"/>
  <c r="LH47" i="23"/>
  <c r="LI47" i="23"/>
  <c r="LJ47" i="23"/>
  <c r="LK47" i="23"/>
  <c r="LL47" i="23"/>
  <c r="LM47" i="23"/>
  <c r="LN47" i="23"/>
  <c r="LO47" i="23"/>
  <c r="LP47" i="23"/>
  <c r="LQ47" i="23"/>
  <c r="LR47" i="23"/>
  <c r="LS47" i="23"/>
  <c r="LT47" i="23"/>
  <c r="LU47" i="23"/>
  <c r="LV47" i="23"/>
  <c r="LW47" i="23"/>
  <c r="LX47" i="23"/>
  <c r="LY47" i="23"/>
  <c r="LZ47" i="23"/>
  <c r="MA47" i="23"/>
  <c r="MB47" i="23"/>
  <c r="MC47" i="23"/>
  <c r="MD47" i="23"/>
  <c r="ME47" i="23"/>
  <c r="MF47" i="23"/>
  <c r="MG47" i="23"/>
  <c r="MH47" i="23"/>
  <c r="MI47" i="23"/>
  <c r="MJ47" i="23"/>
  <c r="MK47" i="23"/>
  <c r="ML47" i="23"/>
  <c r="MM47" i="23"/>
  <c r="MN47" i="23"/>
  <c r="MO47" i="23"/>
  <c r="MP47" i="23"/>
  <c r="MQ47" i="23"/>
  <c r="MR47" i="23"/>
  <c r="MS47" i="23"/>
  <c r="MT47" i="23"/>
  <c r="MU47" i="23"/>
  <c r="MV47" i="23"/>
  <c r="MW47" i="23"/>
  <c r="MX47" i="23"/>
  <c r="F46" i="23"/>
  <c r="G46" i="23"/>
  <c r="H46" i="23"/>
  <c r="I46" i="23"/>
  <c r="J46" i="23"/>
  <c r="K46" i="23"/>
  <c r="L46" i="23"/>
  <c r="M46" i="23"/>
  <c r="N46" i="23"/>
  <c r="O46" i="23"/>
  <c r="P46" i="23"/>
  <c r="Q46" i="23"/>
  <c r="R46" i="23"/>
  <c r="S46" i="23"/>
  <c r="T46" i="23"/>
  <c r="U46" i="23"/>
  <c r="V46" i="23"/>
  <c r="W46" i="23"/>
  <c r="X46" i="23"/>
  <c r="Y46" i="23"/>
  <c r="Z46" i="23"/>
  <c r="AA46" i="23"/>
  <c r="AB46" i="23"/>
  <c r="AC46" i="23"/>
  <c r="AD46" i="23"/>
  <c r="AE46" i="23"/>
  <c r="AG46" i="23"/>
  <c r="AH46" i="23"/>
  <c r="AI46" i="23"/>
  <c r="AJ46" i="23"/>
  <c r="AM46" i="23"/>
  <c r="AP46" i="23"/>
  <c r="AQ46" i="23"/>
  <c r="AR46" i="23"/>
  <c r="AS46" i="23"/>
  <c r="AT46" i="23"/>
  <c r="AU46" i="23"/>
  <c r="AV46" i="23"/>
  <c r="AW46" i="23"/>
  <c r="AX46" i="23"/>
  <c r="AY46" i="23"/>
  <c r="AZ46" i="23"/>
  <c r="BA46" i="23"/>
  <c r="BB46" i="23"/>
  <c r="BC46" i="23"/>
  <c r="BD46" i="23"/>
  <c r="BE46" i="23"/>
  <c r="BF46" i="23"/>
  <c r="BG46" i="23"/>
  <c r="BH46" i="23"/>
  <c r="BI46" i="23"/>
  <c r="BJ46" i="23"/>
  <c r="BK46" i="23"/>
  <c r="BL46" i="23"/>
  <c r="BM46" i="23"/>
  <c r="BN46" i="23"/>
  <c r="BO46" i="23"/>
  <c r="BP46" i="23"/>
  <c r="BQ46" i="23"/>
  <c r="BR46" i="23"/>
  <c r="BS46" i="23"/>
  <c r="BT46" i="23"/>
  <c r="BU46" i="23"/>
  <c r="BV46" i="23"/>
  <c r="BW46" i="23"/>
  <c r="BX46" i="23"/>
  <c r="BY46" i="23"/>
  <c r="BZ46" i="23"/>
  <c r="CA46" i="23"/>
  <c r="CB46" i="23"/>
  <c r="CC46" i="23"/>
  <c r="CD46" i="23"/>
  <c r="CE46" i="23"/>
  <c r="CF46" i="23"/>
  <c r="CG46" i="23"/>
  <c r="CH46" i="23"/>
  <c r="CI46" i="23"/>
  <c r="CJ46" i="23"/>
  <c r="CK46" i="23"/>
  <c r="CL46" i="23"/>
  <c r="CM46" i="23"/>
  <c r="CN46" i="23"/>
  <c r="CO46" i="23"/>
  <c r="CP46" i="23"/>
  <c r="CQ46" i="23"/>
  <c r="CR46" i="23"/>
  <c r="CS46" i="23"/>
  <c r="CU46" i="23"/>
  <c r="CV46" i="23"/>
  <c r="CW46" i="23"/>
  <c r="CX46" i="23"/>
  <c r="CY46" i="23"/>
  <c r="CZ46" i="23"/>
  <c r="DA46" i="23"/>
  <c r="DB46" i="23"/>
  <c r="DC46" i="23"/>
  <c r="DD46" i="23"/>
  <c r="DE46" i="23"/>
  <c r="DF46" i="23"/>
  <c r="DG46" i="23"/>
  <c r="DH46" i="23"/>
  <c r="DI46" i="23"/>
  <c r="DJ46" i="23"/>
  <c r="DK46" i="23"/>
  <c r="DM46" i="23"/>
  <c r="DN46" i="23"/>
  <c r="DN48" i="23" s="1"/>
  <c r="DO46" i="23"/>
  <c r="DO48" i="23" s="1"/>
  <c r="DP46" i="23"/>
  <c r="DP48" i="23" s="1"/>
  <c r="DQ46" i="23"/>
  <c r="DR46" i="23"/>
  <c r="DR48" i="23" s="1"/>
  <c r="DS46" i="23"/>
  <c r="DT46" i="23"/>
  <c r="DT48" i="23" s="1"/>
  <c r="DU46" i="23"/>
  <c r="DV46" i="23"/>
  <c r="DV48" i="23" s="1"/>
  <c r="DW46" i="23"/>
  <c r="DW48" i="23" s="1"/>
  <c r="DX46" i="23"/>
  <c r="DX48" i="23" s="1"/>
  <c r="DY46" i="23"/>
  <c r="DZ46" i="23"/>
  <c r="DZ48" i="23" s="1"/>
  <c r="EA46" i="23"/>
  <c r="EA48" i="23" s="1"/>
  <c r="EB46" i="23"/>
  <c r="EB48" i="23" s="1"/>
  <c r="EC46" i="23"/>
  <c r="ED46" i="23"/>
  <c r="ED48" i="23" s="1"/>
  <c r="EE46" i="23"/>
  <c r="EE48" i="23" s="1"/>
  <c r="EF46" i="23"/>
  <c r="EF48" i="23" s="1"/>
  <c r="EG46" i="23"/>
  <c r="EH46" i="23"/>
  <c r="EH48" i="23" s="1"/>
  <c r="EI46" i="23"/>
  <c r="EK46" i="23"/>
  <c r="EL46" i="23"/>
  <c r="EN46" i="23"/>
  <c r="EO46" i="23"/>
  <c r="EP46" i="23"/>
  <c r="EQ46" i="23"/>
  <c r="ER46" i="23"/>
  <c r="ET46" i="23"/>
  <c r="EU46" i="23"/>
  <c r="EV46" i="23"/>
  <c r="EW46" i="23"/>
  <c r="EW48" i="23" s="1"/>
  <c r="EX46" i="23"/>
  <c r="EX48" i="23" s="1"/>
  <c r="EZ46" i="23"/>
  <c r="EZ48" i="23" s="1"/>
  <c r="FA46" i="23"/>
  <c r="FA48" i="23" s="1"/>
  <c r="FB46" i="23"/>
  <c r="FB48" i="23" s="1"/>
  <c r="FC46" i="23"/>
  <c r="FC48" i="23" s="1"/>
  <c r="FD46" i="23"/>
  <c r="FD48" i="23" s="1"/>
  <c r="FE46" i="23"/>
  <c r="FE48" i="23" s="1"/>
  <c r="FF46" i="23"/>
  <c r="FF48" i="23" s="1"/>
  <c r="FG46" i="23"/>
  <c r="FG48" i="23" s="1"/>
  <c r="FI46" i="23"/>
  <c r="FJ46" i="23"/>
  <c r="FK46" i="23"/>
  <c r="FL46" i="23"/>
  <c r="FM46" i="23"/>
  <c r="FN46" i="23"/>
  <c r="FO46" i="23"/>
  <c r="FP46" i="23"/>
  <c r="FQ46" i="23"/>
  <c r="FR46" i="23"/>
  <c r="FS46" i="23"/>
  <c r="FT46" i="23"/>
  <c r="FU46" i="23"/>
  <c r="FV46" i="23"/>
  <c r="FW46" i="23"/>
  <c r="FX46" i="23"/>
  <c r="FY46" i="23"/>
  <c r="FZ46" i="23"/>
  <c r="GA46" i="23"/>
  <c r="GB46" i="23"/>
  <c r="GC46" i="23"/>
  <c r="GD46" i="23"/>
  <c r="GE46" i="23"/>
  <c r="GG46" i="23"/>
  <c r="GH46" i="23"/>
  <c r="GJ46" i="23"/>
  <c r="GN46" i="23"/>
  <c r="GP46" i="23"/>
  <c r="GP48" i="23" s="1"/>
  <c r="GQ46" i="23"/>
  <c r="GQ48" i="23" s="1"/>
  <c r="GR46" i="23"/>
  <c r="GS46" i="23"/>
  <c r="GS48" i="23" s="1"/>
  <c r="GW46" i="23"/>
  <c r="GW48" i="23" s="1"/>
  <c r="GX46" i="23"/>
  <c r="GX48" i="23" s="1"/>
  <c r="GY46" i="23"/>
  <c r="GZ46" i="23"/>
  <c r="GZ48" i="23" s="1"/>
  <c r="HA46" i="23"/>
  <c r="HA48" i="23" s="1"/>
  <c r="HB46" i="23"/>
  <c r="HB48" i="23" s="1"/>
  <c r="HC46" i="23"/>
  <c r="HD46" i="23"/>
  <c r="HD48" i="23" s="1"/>
  <c r="HE46" i="23"/>
  <c r="HE48" i="23" s="1"/>
  <c r="HF46" i="23"/>
  <c r="HF48" i="23" s="1"/>
  <c r="HG46" i="23"/>
  <c r="HH46" i="23"/>
  <c r="HH48" i="23" s="1"/>
  <c r="HI46" i="23"/>
  <c r="HI48" i="23" s="1"/>
  <c r="HJ46" i="23"/>
  <c r="HJ48" i="23" s="1"/>
  <c r="HK46" i="23"/>
  <c r="HL46" i="23"/>
  <c r="HL48" i="23" s="1"/>
  <c r="HM46" i="23"/>
  <c r="HM48" i="23" s="1"/>
  <c r="HN46" i="23"/>
  <c r="HN48" i="23" s="1"/>
  <c r="HO46" i="23"/>
  <c r="HP46" i="23"/>
  <c r="HP48" i="23" s="1"/>
  <c r="HQ46" i="23"/>
  <c r="HQ48" i="23" s="1"/>
  <c r="HR46" i="23"/>
  <c r="HR48" i="23" s="1"/>
  <c r="HS46" i="23"/>
  <c r="HT46" i="23"/>
  <c r="HT48" i="23" s="1"/>
  <c r="HU46" i="23"/>
  <c r="HU48" i="23" s="1"/>
  <c r="HV46" i="23"/>
  <c r="HV48" i="23" s="1"/>
  <c r="HW46" i="23"/>
  <c r="HX46" i="23"/>
  <c r="HX48" i="23" s="1"/>
  <c r="HY46" i="23"/>
  <c r="HY48" i="23" s="1"/>
  <c r="HZ46" i="23"/>
  <c r="HZ48" i="23" s="1"/>
  <c r="IA46" i="23"/>
  <c r="IB46" i="23"/>
  <c r="IB48" i="23" s="1"/>
  <c r="IC46" i="23"/>
  <c r="IC48" i="23" s="1"/>
  <c r="ID46" i="23"/>
  <c r="ID48" i="23" s="1"/>
  <c r="IE46" i="23"/>
  <c r="IF46" i="23"/>
  <c r="IF48" i="23" s="1"/>
  <c r="IG46" i="23"/>
  <c r="IG48" i="23" s="1"/>
  <c r="IH46" i="23"/>
  <c r="IH48" i="23" s="1"/>
  <c r="II46" i="23"/>
  <c r="IJ46" i="23"/>
  <c r="IJ48" i="23" s="1"/>
  <c r="IK46" i="23"/>
  <c r="IK48" i="23" s="1"/>
  <c r="IL46" i="23"/>
  <c r="IL48" i="23" s="1"/>
  <c r="IM46" i="23"/>
  <c r="IN46" i="23"/>
  <c r="IN48" i="23" s="1"/>
  <c r="IO46" i="23"/>
  <c r="IO48" i="23" s="1"/>
  <c r="IP46" i="23"/>
  <c r="IP48" i="23" s="1"/>
  <c r="IQ46" i="23"/>
  <c r="IR46" i="23"/>
  <c r="IR48" i="23" s="1"/>
  <c r="IS46" i="23"/>
  <c r="IS48" i="23" s="1"/>
  <c r="IT46" i="23"/>
  <c r="IT48" i="23" s="1"/>
  <c r="IU46" i="23"/>
  <c r="IV46" i="23"/>
  <c r="IV48" i="23" s="1"/>
  <c r="IW46" i="23"/>
  <c r="IW48" i="23" s="1"/>
  <c r="IX46" i="23"/>
  <c r="IX48" i="23" s="1"/>
  <c r="IY46" i="23"/>
  <c r="IZ46" i="23"/>
  <c r="IZ48" i="23" s="1"/>
  <c r="JA46" i="23"/>
  <c r="JA48" i="23" s="1"/>
  <c r="JB46" i="23"/>
  <c r="JB48" i="23" s="1"/>
  <c r="JC46" i="23"/>
  <c r="JD46" i="23"/>
  <c r="JD48" i="23" s="1"/>
  <c r="JE46" i="23"/>
  <c r="JE48" i="23" s="1"/>
  <c r="JF46" i="23"/>
  <c r="JF48" i="23" s="1"/>
  <c r="JG46" i="23"/>
  <c r="JH46" i="23"/>
  <c r="JH48" i="23" s="1"/>
  <c r="JI46" i="23"/>
  <c r="JI48" i="23" s="1"/>
  <c r="JJ46" i="23"/>
  <c r="JJ48" i="23" s="1"/>
  <c r="JK46" i="23"/>
  <c r="JL46" i="23"/>
  <c r="JL48" i="23" s="1"/>
  <c r="JM46" i="23"/>
  <c r="JM48" i="23" s="1"/>
  <c r="JN46" i="23"/>
  <c r="JN48" i="23" s="1"/>
  <c r="JO46" i="23"/>
  <c r="JP46" i="23"/>
  <c r="JP48" i="23" s="1"/>
  <c r="JQ46" i="23"/>
  <c r="JQ48" i="23" s="1"/>
  <c r="JR46" i="23"/>
  <c r="JR48" i="23" s="1"/>
  <c r="JS46" i="23"/>
  <c r="JT46" i="23"/>
  <c r="JT48" i="23" s="1"/>
  <c r="JU46" i="23"/>
  <c r="JU48" i="23" s="1"/>
  <c r="JV46" i="23"/>
  <c r="JV48" i="23" s="1"/>
  <c r="JW46" i="23"/>
  <c r="JX46" i="23"/>
  <c r="JX48" i="23" s="1"/>
  <c r="JY46" i="23"/>
  <c r="JY48" i="23" s="1"/>
  <c r="JZ46" i="23"/>
  <c r="JZ48" i="23" s="1"/>
  <c r="KA46" i="23"/>
  <c r="KB46" i="23"/>
  <c r="KB48" i="23" s="1"/>
  <c r="KC46" i="23"/>
  <c r="KC48" i="23" s="1"/>
  <c r="KD46" i="23"/>
  <c r="KD48" i="23" s="1"/>
  <c r="KE46" i="23"/>
  <c r="KF46" i="23"/>
  <c r="KF48" i="23" s="1"/>
  <c r="KG46" i="23"/>
  <c r="KG48" i="23" s="1"/>
  <c r="KH46" i="23"/>
  <c r="KH48" i="23" s="1"/>
  <c r="KI46" i="23"/>
  <c r="KJ46" i="23"/>
  <c r="KJ48" i="23" s="1"/>
  <c r="KK46" i="23"/>
  <c r="KK48" i="23" s="1"/>
  <c r="KL46" i="23"/>
  <c r="KL48" i="23" s="1"/>
  <c r="KM46" i="23"/>
  <c r="KN46" i="23"/>
  <c r="KN48" i="23" s="1"/>
  <c r="KO46" i="23"/>
  <c r="KO48" i="23" s="1"/>
  <c r="KP46" i="23"/>
  <c r="KP48" i="23" s="1"/>
  <c r="KQ46" i="23"/>
  <c r="KR46" i="23"/>
  <c r="KR48" i="23" s="1"/>
  <c r="KS46" i="23"/>
  <c r="KS48" i="23" s="1"/>
  <c r="KT46" i="23"/>
  <c r="KT48" i="23" s="1"/>
  <c r="KU46" i="23"/>
  <c r="KV46" i="23"/>
  <c r="KV48" i="23" s="1"/>
  <c r="KW46" i="23"/>
  <c r="KW48" i="23" s="1"/>
  <c r="KX46" i="23"/>
  <c r="KX48" i="23" s="1"/>
  <c r="KY46" i="23"/>
  <c r="KZ46" i="23"/>
  <c r="KZ48" i="23" s="1"/>
  <c r="LA46" i="23"/>
  <c r="LA48" i="23" s="1"/>
  <c r="LB46" i="23"/>
  <c r="LB48" i="23" s="1"/>
  <c r="LC46" i="23"/>
  <c r="LD46" i="23"/>
  <c r="LD48" i="23" s="1"/>
  <c r="LE46" i="23"/>
  <c r="LE48" i="23" s="1"/>
  <c r="LF46" i="23"/>
  <c r="LG46" i="23"/>
  <c r="LH46" i="23"/>
  <c r="LI46" i="23"/>
  <c r="LI48" i="23" s="1"/>
  <c r="LJ46" i="23"/>
  <c r="LJ48" i="23" s="1"/>
  <c r="LK46" i="23"/>
  <c r="LL46" i="23"/>
  <c r="LL48" i="23" s="1"/>
  <c r="LM46" i="23"/>
  <c r="LM48" i="23" s="1"/>
  <c r="LN46" i="23"/>
  <c r="LN48" i="23" s="1"/>
  <c r="LO46" i="23"/>
  <c r="LP46" i="23"/>
  <c r="LP48" i="23" s="1"/>
  <c r="LQ46" i="23"/>
  <c r="LQ48" i="23" s="1"/>
  <c r="LR46" i="23"/>
  <c r="LR48" i="23" s="1"/>
  <c r="LS46" i="23"/>
  <c r="LT46" i="23"/>
  <c r="LT48" i="23" s="1"/>
  <c r="LU46" i="23"/>
  <c r="LU48" i="23" s="1"/>
  <c r="LV46" i="23"/>
  <c r="LV48" i="23" s="1"/>
  <c r="LW46" i="23"/>
  <c r="LX46" i="23"/>
  <c r="LX48" i="23" s="1"/>
  <c r="LY46" i="23"/>
  <c r="LY48" i="23" s="1"/>
  <c r="LZ46" i="23"/>
  <c r="LZ48" i="23" s="1"/>
  <c r="MA46" i="23"/>
  <c r="MB46" i="23"/>
  <c r="MB48" i="23" s="1"/>
  <c r="MC46" i="23"/>
  <c r="MC48" i="23" s="1"/>
  <c r="MD46" i="23"/>
  <c r="MD48" i="23" s="1"/>
  <c r="ME46" i="23"/>
  <c r="MF46" i="23"/>
  <c r="MG46" i="23"/>
  <c r="MG48" i="23" s="1"/>
  <c r="MH46" i="23"/>
  <c r="MH48" i="23" s="1"/>
  <c r="MI46" i="23"/>
  <c r="MJ46" i="23"/>
  <c r="MJ48" i="23" s="1"/>
  <c r="MK46" i="23"/>
  <c r="MK48" i="23" s="1"/>
  <c r="ML46" i="23"/>
  <c r="ML48" i="23" s="1"/>
  <c r="MM46" i="23"/>
  <c r="MN46" i="23"/>
  <c r="MN48" i="23" s="1"/>
  <c r="MO46" i="23"/>
  <c r="MO48" i="23" s="1"/>
  <c r="MP46" i="23"/>
  <c r="MP48" i="23" s="1"/>
  <c r="MQ46" i="23"/>
  <c r="MR46" i="23"/>
  <c r="MR48" i="23" s="1"/>
  <c r="MS46" i="23"/>
  <c r="MS48" i="23" s="1"/>
  <c r="MT46" i="23"/>
  <c r="MT48" i="23" s="1"/>
  <c r="MU46" i="23"/>
  <c r="MV46" i="23"/>
  <c r="MV48" i="23" s="1"/>
  <c r="MW46" i="23"/>
  <c r="MW48" i="23" s="1"/>
  <c r="MX46" i="23"/>
  <c r="MX48" i="23" s="1"/>
  <c r="F38" i="23"/>
  <c r="G38" i="23"/>
  <c r="H38" i="23"/>
  <c r="I38" i="23"/>
  <c r="J38" i="23"/>
  <c r="K38" i="23"/>
  <c r="L38" i="23"/>
  <c r="M38" i="23"/>
  <c r="N38" i="23"/>
  <c r="O38" i="23"/>
  <c r="P38" i="23"/>
  <c r="Q38" i="23"/>
  <c r="R38" i="23"/>
  <c r="S38" i="23"/>
  <c r="T38" i="23"/>
  <c r="U38" i="23"/>
  <c r="V38" i="23"/>
  <c r="W38" i="23"/>
  <c r="X38" i="23"/>
  <c r="Y38" i="23"/>
  <c r="Z38" i="23"/>
  <c r="AA38" i="23"/>
  <c r="AB38" i="23"/>
  <c r="AC38" i="23"/>
  <c r="AD38" i="23"/>
  <c r="AE38" i="23"/>
  <c r="AF38" i="23"/>
  <c r="AG38" i="23"/>
  <c r="AH38" i="23"/>
  <c r="AI38" i="23"/>
  <c r="AJ38" i="23"/>
  <c r="AK38" i="23"/>
  <c r="AL38" i="23"/>
  <c r="AM38" i="23"/>
  <c r="AQ38" i="23"/>
  <c r="AR38" i="23"/>
  <c r="AS38" i="23"/>
  <c r="AT38" i="23"/>
  <c r="AU38" i="23"/>
  <c r="AV38" i="23"/>
  <c r="AW38" i="23"/>
  <c r="AX38" i="23"/>
  <c r="AY38" i="23"/>
  <c r="AZ38" i="23"/>
  <c r="BA38" i="23"/>
  <c r="BB38" i="23"/>
  <c r="BC38" i="23"/>
  <c r="BD38" i="23"/>
  <c r="BE38" i="23"/>
  <c r="BF38" i="23"/>
  <c r="BG38" i="23"/>
  <c r="BH38" i="23"/>
  <c r="BI38" i="23"/>
  <c r="BJ38" i="23"/>
  <c r="BK38" i="23"/>
  <c r="BL38" i="23"/>
  <c r="BM38" i="23"/>
  <c r="BN38" i="23"/>
  <c r="BO38" i="23"/>
  <c r="BP38" i="23"/>
  <c r="BQ38" i="23"/>
  <c r="BR38" i="23"/>
  <c r="BS38" i="23"/>
  <c r="BT38" i="23"/>
  <c r="BU38" i="23"/>
  <c r="BV38" i="23"/>
  <c r="BW38" i="23"/>
  <c r="BX38" i="23"/>
  <c r="BY38" i="23"/>
  <c r="BZ38" i="23"/>
  <c r="CA38" i="23"/>
  <c r="CB38" i="23"/>
  <c r="CC38" i="23"/>
  <c r="CD38" i="23"/>
  <c r="CE38" i="23"/>
  <c r="CF38" i="23"/>
  <c r="CG38" i="23"/>
  <c r="CH38" i="23"/>
  <c r="CI38" i="23"/>
  <c r="CJ38" i="23"/>
  <c r="CK38" i="23"/>
  <c r="CL38" i="23"/>
  <c r="CM38" i="23"/>
  <c r="CN38" i="23"/>
  <c r="CO38" i="23"/>
  <c r="CP38" i="23"/>
  <c r="CQ38" i="23"/>
  <c r="CR38" i="23"/>
  <c r="CS38" i="23"/>
  <c r="CT38" i="23"/>
  <c r="CU38" i="23"/>
  <c r="CV38" i="23"/>
  <c r="CW38" i="23"/>
  <c r="CX38" i="23"/>
  <c r="CY38" i="23"/>
  <c r="CZ38" i="23"/>
  <c r="DA38" i="23"/>
  <c r="DB38" i="23"/>
  <c r="DC38" i="23"/>
  <c r="DD38" i="23"/>
  <c r="DE38" i="23"/>
  <c r="DF38" i="23"/>
  <c r="DG38" i="23"/>
  <c r="DH38" i="23"/>
  <c r="DI38" i="23"/>
  <c r="DJ38" i="23"/>
  <c r="DK38" i="23"/>
  <c r="DL38" i="23"/>
  <c r="DM38" i="23"/>
  <c r="DN38" i="23"/>
  <c r="DO38" i="23"/>
  <c r="DP38" i="23"/>
  <c r="DQ38" i="23"/>
  <c r="DR38" i="23"/>
  <c r="DS38" i="23"/>
  <c r="DT38" i="23"/>
  <c r="DU38" i="23"/>
  <c r="DV38" i="23"/>
  <c r="DW38" i="23"/>
  <c r="DX38" i="23"/>
  <c r="DY38" i="23"/>
  <c r="DZ38" i="23"/>
  <c r="EA38" i="23"/>
  <c r="EB38" i="23"/>
  <c r="EC38" i="23"/>
  <c r="ED38" i="23"/>
  <c r="EE38" i="23"/>
  <c r="EF38" i="23"/>
  <c r="EG38" i="23"/>
  <c r="EH38" i="23"/>
  <c r="EI38" i="23"/>
  <c r="EJ38" i="23"/>
  <c r="EK38" i="23"/>
  <c r="EL38" i="23"/>
  <c r="EM38" i="23"/>
  <c r="EN38" i="23"/>
  <c r="EO38" i="23"/>
  <c r="EP38" i="23"/>
  <c r="EQ38" i="23"/>
  <c r="ER38" i="23"/>
  <c r="ES38" i="23"/>
  <c r="ET38" i="23"/>
  <c r="EU38" i="23"/>
  <c r="EV38" i="23"/>
  <c r="EW38" i="23"/>
  <c r="EX38" i="23"/>
  <c r="EY38" i="23"/>
  <c r="EZ38" i="23"/>
  <c r="FA38" i="23"/>
  <c r="FB38" i="23"/>
  <c r="FC38" i="23"/>
  <c r="FD38" i="23"/>
  <c r="FE38" i="23"/>
  <c r="FF38" i="23"/>
  <c r="FG38" i="23"/>
  <c r="FH38" i="23"/>
  <c r="FI38" i="23"/>
  <c r="FJ38" i="23"/>
  <c r="FK38" i="23"/>
  <c r="FL38" i="23"/>
  <c r="FM38" i="23"/>
  <c r="FN38" i="23"/>
  <c r="FO38" i="23"/>
  <c r="FP38" i="23"/>
  <c r="FQ38" i="23"/>
  <c r="FR38" i="23"/>
  <c r="FS38" i="23"/>
  <c r="FT38" i="23"/>
  <c r="FU38" i="23"/>
  <c r="FV38" i="23"/>
  <c r="FW38" i="23"/>
  <c r="FX38" i="23"/>
  <c r="FY38" i="23"/>
  <c r="FZ38" i="23"/>
  <c r="GA38" i="23"/>
  <c r="GB38" i="23"/>
  <c r="GC38" i="23"/>
  <c r="GD38" i="23"/>
  <c r="GE38" i="23"/>
  <c r="GF38" i="23"/>
  <c r="GG38" i="23"/>
  <c r="GH38" i="23"/>
  <c r="GI38" i="23"/>
  <c r="GJ38" i="23"/>
  <c r="GN38" i="23"/>
  <c r="GO38" i="23"/>
  <c r="GP38" i="23"/>
  <c r="GQ38" i="23"/>
  <c r="GR38" i="23"/>
  <c r="GS38" i="23"/>
  <c r="GW38" i="23"/>
  <c r="GX38" i="23"/>
  <c r="GY38" i="23"/>
  <c r="GZ38" i="23"/>
  <c r="HA38" i="23"/>
  <c r="HB38" i="23"/>
  <c r="HC38" i="23"/>
  <c r="HD38" i="23"/>
  <c r="HE38" i="23"/>
  <c r="HF38" i="23"/>
  <c r="HG38" i="23"/>
  <c r="HH38" i="23"/>
  <c r="HI38" i="23"/>
  <c r="HJ38" i="23"/>
  <c r="HK38" i="23"/>
  <c r="HL38" i="23"/>
  <c r="HM38" i="23"/>
  <c r="HN38" i="23"/>
  <c r="HO38" i="23"/>
  <c r="HP38" i="23"/>
  <c r="HQ38" i="23"/>
  <c r="HR38" i="23"/>
  <c r="HS38" i="23"/>
  <c r="HT38" i="23"/>
  <c r="HU38" i="23"/>
  <c r="HV38" i="23"/>
  <c r="HW38" i="23"/>
  <c r="HX38" i="23"/>
  <c r="HY38" i="23"/>
  <c r="HZ38" i="23"/>
  <c r="IA38" i="23"/>
  <c r="IB38" i="23"/>
  <c r="IC38" i="23"/>
  <c r="ID38" i="23"/>
  <c r="IE38" i="23"/>
  <c r="IF38" i="23"/>
  <c r="IG38" i="23"/>
  <c r="IH38" i="23"/>
  <c r="II38" i="23"/>
  <c r="IJ38" i="23"/>
  <c r="IK38" i="23"/>
  <c r="IL38" i="23"/>
  <c r="IM38" i="23"/>
  <c r="IN38" i="23"/>
  <c r="IO38" i="23"/>
  <c r="IP38" i="23"/>
  <c r="IQ38" i="23"/>
  <c r="IR38" i="23"/>
  <c r="IS38" i="23"/>
  <c r="IT38" i="23"/>
  <c r="IU38" i="23"/>
  <c r="IV38" i="23"/>
  <c r="IW38" i="23"/>
  <c r="IX38" i="23"/>
  <c r="IY38" i="23"/>
  <c r="IZ38" i="23"/>
  <c r="JA38" i="23"/>
  <c r="JB38" i="23"/>
  <c r="JC38" i="23"/>
  <c r="JD38" i="23"/>
  <c r="JE38" i="23"/>
  <c r="JF38" i="23"/>
  <c r="JG38" i="23"/>
  <c r="JH38" i="23"/>
  <c r="JI38" i="23"/>
  <c r="JJ38" i="23"/>
  <c r="JK38" i="23"/>
  <c r="JL38" i="23"/>
  <c r="JM38" i="23"/>
  <c r="JN38" i="23"/>
  <c r="JO38" i="23"/>
  <c r="JP38" i="23"/>
  <c r="JQ38" i="23"/>
  <c r="JR38" i="23"/>
  <c r="JS38" i="23"/>
  <c r="JT38" i="23"/>
  <c r="JU38" i="23"/>
  <c r="JV38" i="23"/>
  <c r="JW38" i="23"/>
  <c r="JX38" i="23"/>
  <c r="JY38" i="23"/>
  <c r="JZ38" i="23"/>
  <c r="KA38" i="23"/>
  <c r="KB38" i="23"/>
  <c r="KC38" i="23"/>
  <c r="KD38" i="23"/>
  <c r="KE38" i="23"/>
  <c r="KF38" i="23"/>
  <c r="KG38" i="23"/>
  <c r="KH38" i="23"/>
  <c r="KI38" i="23"/>
  <c r="KJ38" i="23"/>
  <c r="KK38" i="23"/>
  <c r="KL38" i="23"/>
  <c r="KM38" i="23"/>
  <c r="KN38" i="23"/>
  <c r="KO38" i="23"/>
  <c r="KP38" i="23"/>
  <c r="KQ38" i="23"/>
  <c r="KR38" i="23"/>
  <c r="KS38" i="23"/>
  <c r="KT38" i="23"/>
  <c r="KU38" i="23"/>
  <c r="KV38" i="23"/>
  <c r="KW38" i="23"/>
  <c r="KX38" i="23"/>
  <c r="KY38" i="23"/>
  <c r="KZ38" i="23"/>
  <c r="LA38" i="23"/>
  <c r="LB38" i="23"/>
  <c r="LC38" i="23"/>
  <c r="LD38" i="23"/>
  <c r="LE38" i="23"/>
  <c r="LF38" i="23"/>
  <c r="LG38" i="23"/>
  <c r="LH38" i="23"/>
  <c r="LI38" i="23"/>
  <c r="LJ38" i="23"/>
  <c r="LK38" i="23"/>
  <c r="LL38" i="23"/>
  <c r="LM38" i="23"/>
  <c r="LN38" i="23"/>
  <c r="LO38" i="23"/>
  <c r="LP38" i="23"/>
  <c r="LQ38" i="23"/>
  <c r="LR38" i="23"/>
  <c r="LS38" i="23"/>
  <c r="LT38" i="23"/>
  <c r="LU38" i="23"/>
  <c r="LV38" i="23"/>
  <c r="LW38" i="23"/>
  <c r="LX38" i="23"/>
  <c r="LY38" i="23"/>
  <c r="LZ38" i="23"/>
  <c r="MA38" i="23"/>
  <c r="MB38" i="23"/>
  <c r="MC38" i="23"/>
  <c r="MD38" i="23"/>
  <c r="ME38" i="23"/>
  <c r="MF38" i="23"/>
  <c r="MG38" i="23"/>
  <c r="MH38" i="23"/>
  <c r="MI38" i="23"/>
  <c r="MJ38" i="23"/>
  <c r="MK38" i="23"/>
  <c r="ML38" i="23"/>
  <c r="MM38" i="23"/>
  <c r="MN38" i="23"/>
  <c r="MO38" i="23"/>
  <c r="MP38" i="23"/>
  <c r="MQ38" i="23"/>
  <c r="MR38" i="23"/>
  <c r="MS38" i="23"/>
  <c r="MT38" i="23"/>
  <c r="MU38" i="23"/>
  <c r="MV38" i="23"/>
  <c r="MW38" i="23"/>
  <c r="MX38" i="23"/>
  <c r="F37" i="23"/>
  <c r="G37" i="23"/>
  <c r="H37" i="23"/>
  <c r="I37" i="23"/>
  <c r="J37" i="23"/>
  <c r="K37" i="23"/>
  <c r="L37" i="23"/>
  <c r="M37" i="23"/>
  <c r="N37" i="23"/>
  <c r="O37" i="23"/>
  <c r="P37" i="23"/>
  <c r="Q37" i="23"/>
  <c r="R37" i="23"/>
  <c r="S37" i="23"/>
  <c r="T37" i="23"/>
  <c r="U37" i="23"/>
  <c r="V37" i="23"/>
  <c r="W37" i="23"/>
  <c r="X37" i="23"/>
  <c r="Y37" i="23"/>
  <c r="Z37" i="23"/>
  <c r="AA37" i="23"/>
  <c r="AB37" i="23"/>
  <c r="AC37" i="23"/>
  <c r="AD37" i="23"/>
  <c r="AE37" i="23"/>
  <c r="AG37" i="23"/>
  <c r="AH37" i="23"/>
  <c r="AJ37" i="23"/>
  <c r="AM37" i="23"/>
  <c r="AN37" i="23"/>
  <c r="AP37" i="23"/>
  <c r="AQ37" i="23"/>
  <c r="AR37" i="23"/>
  <c r="AS37" i="23"/>
  <c r="AT37" i="23"/>
  <c r="AU37" i="23"/>
  <c r="AV37" i="23"/>
  <c r="AW37" i="23"/>
  <c r="AX37" i="23"/>
  <c r="AY37" i="23"/>
  <c r="AZ37" i="23"/>
  <c r="BA37" i="23"/>
  <c r="BB37" i="23"/>
  <c r="BC37" i="23"/>
  <c r="BD37" i="23"/>
  <c r="BE37" i="23"/>
  <c r="BF37" i="23"/>
  <c r="BG37" i="23"/>
  <c r="BH37" i="23"/>
  <c r="BI37" i="23"/>
  <c r="BJ37" i="23"/>
  <c r="BK37" i="23"/>
  <c r="BL37" i="23"/>
  <c r="BM37" i="23"/>
  <c r="BN37" i="23"/>
  <c r="BO37" i="23"/>
  <c r="BP37" i="23"/>
  <c r="BQ37" i="23"/>
  <c r="BR37" i="23"/>
  <c r="BS37" i="23"/>
  <c r="BT37" i="23"/>
  <c r="BU37" i="23"/>
  <c r="BV37" i="23"/>
  <c r="BW37" i="23"/>
  <c r="BX37" i="23"/>
  <c r="BY37" i="23"/>
  <c r="BZ37" i="23"/>
  <c r="CA37" i="23"/>
  <c r="CB37" i="23"/>
  <c r="CC37" i="23"/>
  <c r="CD37" i="23"/>
  <c r="CE37" i="23"/>
  <c r="CF37" i="23"/>
  <c r="CG37" i="23"/>
  <c r="CH37" i="23"/>
  <c r="CI37" i="23"/>
  <c r="CJ37" i="23"/>
  <c r="CK37" i="23"/>
  <c r="CL37" i="23"/>
  <c r="CM37" i="23"/>
  <c r="CN37" i="23"/>
  <c r="CO37" i="23"/>
  <c r="CP37" i="23"/>
  <c r="CQ37" i="23"/>
  <c r="CR37" i="23"/>
  <c r="CS37" i="23"/>
  <c r="CU37" i="23"/>
  <c r="CV37" i="23"/>
  <c r="CW37" i="23"/>
  <c r="CX37" i="23"/>
  <c r="CY37" i="23"/>
  <c r="CZ37" i="23"/>
  <c r="DA37" i="23"/>
  <c r="DB37" i="23"/>
  <c r="DC37" i="23"/>
  <c r="DD37" i="23"/>
  <c r="DE37" i="23"/>
  <c r="DF37" i="23"/>
  <c r="DG37" i="23"/>
  <c r="DH37" i="23"/>
  <c r="DI37" i="23"/>
  <c r="DJ37" i="23"/>
  <c r="DK37" i="23"/>
  <c r="DM37" i="23"/>
  <c r="DN37" i="23"/>
  <c r="DO37" i="23"/>
  <c r="DP37" i="23"/>
  <c r="DQ37" i="23"/>
  <c r="DR37" i="23"/>
  <c r="DS37" i="23"/>
  <c r="DT37" i="23"/>
  <c r="DU37" i="23"/>
  <c r="DV37" i="23"/>
  <c r="DW37" i="23"/>
  <c r="DX37" i="23"/>
  <c r="DY37" i="23"/>
  <c r="DZ37" i="23"/>
  <c r="EA37" i="23"/>
  <c r="EB37" i="23"/>
  <c r="EC37" i="23"/>
  <c r="ED37" i="23"/>
  <c r="EE37" i="23"/>
  <c r="EF37" i="23"/>
  <c r="EG37" i="23"/>
  <c r="EH37" i="23"/>
  <c r="EI37" i="23"/>
  <c r="EK37" i="23"/>
  <c r="EL37" i="23"/>
  <c r="EN37" i="23"/>
  <c r="EO37" i="23"/>
  <c r="EP37" i="23"/>
  <c r="EQ37" i="23"/>
  <c r="ER37" i="23"/>
  <c r="ET37" i="23"/>
  <c r="EU37" i="23"/>
  <c r="EV37" i="23"/>
  <c r="EW37" i="23"/>
  <c r="EX37" i="23"/>
  <c r="EZ37" i="23"/>
  <c r="FA37" i="23"/>
  <c r="FB37" i="23"/>
  <c r="FC37" i="23"/>
  <c r="FD37" i="23"/>
  <c r="FE37" i="23"/>
  <c r="FF37" i="23"/>
  <c r="FG37" i="23"/>
  <c r="FI37" i="23"/>
  <c r="FJ37" i="23"/>
  <c r="FK37" i="23"/>
  <c r="FL37" i="23"/>
  <c r="FM37" i="23"/>
  <c r="FN37" i="23"/>
  <c r="FO37" i="23"/>
  <c r="FP37" i="23"/>
  <c r="FQ37" i="23"/>
  <c r="FR37" i="23"/>
  <c r="FS37" i="23"/>
  <c r="FT37" i="23"/>
  <c r="FU37" i="23"/>
  <c r="FV37" i="23"/>
  <c r="FW37" i="23"/>
  <c r="FX37" i="23"/>
  <c r="FY37" i="23"/>
  <c r="FZ37" i="23"/>
  <c r="GA37" i="23"/>
  <c r="GB37" i="23"/>
  <c r="GC37" i="23"/>
  <c r="GD37" i="23"/>
  <c r="GE37" i="23"/>
  <c r="GG37" i="23"/>
  <c r="GH37" i="23"/>
  <c r="GJ37" i="23"/>
  <c r="GN37" i="23"/>
  <c r="GP37" i="23"/>
  <c r="GQ37" i="23"/>
  <c r="GR37" i="23"/>
  <c r="GS37" i="23"/>
  <c r="GW37" i="23"/>
  <c r="GX37" i="23"/>
  <c r="GY37" i="23"/>
  <c r="GZ37" i="23"/>
  <c r="HA37" i="23"/>
  <c r="HB37" i="23"/>
  <c r="HC37" i="23"/>
  <c r="HD37" i="23"/>
  <c r="HE37" i="23"/>
  <c r="HF37" i="23"/>
  <c r="HG37" i="23"/>
  <c r="HH37" i="23"/>
  <c r="HI37" i="23"/>
  <c r="HJ37" i="23"/>
  <c r="HK37" i="23"/>
  <c r="HL37" i="23"/>
  <c r="HM37" i="23"/>
  <c r="HN37" i="23"/>
  <c r="HO37" i="23"/>
  <c r="HP37" i="23"/>
  <c r="HQ37" i="23"/>
  <c r="HR37" i="23"/>
  <c r="HS37" i="23"/>
  <c r="HT37" i="23"/>
  <c r="HU37" i="23"/>
  <c r="HV37" i="23"/>
  <c r="HW37" i="23"/>
  <c r="HX37" i="23"/>
  <c r="HY37" i="23"/>
  <c r="HZ37" i="23"/>
  <c r="IA37" i="23"/>
  <c r="IB37" i="23"/>
  <c r="IC37" i="23"/>
  <c r="ID37" i="23"/>
  <c r="IE37" i="23"/>
  <c r="IF37" i="23"/>
  <c r="IG37" i="23"/>
  <c r="IH37" i="23"/>
  <c r="II37" i="23"/>
  <c r="IJ37" i="23"/>
  <c r="IK37" i="23"/>
  <c r="IL37" i="23"/>
  <c r="IM37" i="23"/>
  <c r="IN37" i="23"/>
  <c r="IO37" i="23"/>
  <c r="IP37" i="23"/>
  <c r="IQ37" i="23"/>
  <c r="IR37" i="23"/>
  <c r="IS37" i="23"/>
  <c r="IT37" i="23"/>
  <c r="IU37" i="23"/>
  <c r="IV37" i="23"/>
  <c r="IW37" i="23"/>
  <c r="IX37" i="23"/>
  <c r="IY37" i="23"/>
  <c r="IZ37" i="23"/>
  <c r="JA37" i="23"/>
  <c r="JB37" i="23"/>
  <c r="JC37" i="23"/>
  <c r="JD37" i="23"/>
  <c r="JE37" i="23"/>
  <c r="JF37" i="23"/>
  <c r="JG37" i="23"/>
  <c r="JH37" i="23"/>
  <c r="JI37" i="23"/>
  <c r="JJ37" i="23"/>
  <c r="JK37" i="23"/>
  <c r="JL37" i="23"/>
  <c r="JM37" i="23"/>
  <c r="JN37" i="23"/>
  <c r="JO37" i="23"/>
  <c r="JP37" i="23"/>
  <c r="JQ37" i="23"/>
  <c r="JR37" i="23"/>
  <c r="JS37" i="23"/>
  <c r="JT37" i="23"/>
  <c r="JU37" i="23"/>
  <c r="JV37" i="23"/>
  <c r="JW37" i="23"/>
  <c r="JX37" i="23"/>
  <c r="JY37" i="23"/>
  <c r="JZ37" i="23"/>
  <c r="KA37" i="23"/>
  <c r="KB37" i="23"/>
  <c r="KC37" i="23"/>
  <c r="KD37" i="23"/>
  <c r="KE37" i="23"/>
  <c r="KF37" i="23"/>
  <c r="KG37" i="23"/>
  <c r="KH37" i="23"/>
  <c r="KI37" i="23"/>
  <c r="KJ37" i="23"/>
  <c r="KK37" i="23"/>
  <c r="KL37" i="23"/>
  <c r="KM37" i="23"/>
  <c r="KN37" i="23"/>
  <c r="KO37" i="23"/>
  <c r="KP37" i="23"/>
  <c r="KQ37" i="23"/>
  <c r="KR37" i="23"/>
  <c r="KS37" i="23"/>
  <c r="KT37" i="23"/>
  <c r="KU37" i="23"/>
  <c r="KV37" i="23"/>
  <c r="KW37" i="23"/>
  <c r="KX37" i="23"/>
  <c r="KY37" i="23"/>
  <c r="KZ37" i="23"/>
  <c r="LA37" i="23"/>
  <c r="LB37" i="23"/>
  <c r="LC37" i="23"/>
  <c r="LD37" i="23"/>
  <c r="LE37" i="23"/>
  <c r="LF37" i="23"/>
  <c r="LG37" i="23"/>
  <c r="LH37" i="23"/>
  <c r="LI37" i="23"/>
  <c r="LJ37" i="23"/>
  <c r="LK37" i="23"/>
  <c r="LL37" i="23"/>
  <c r="LM37" i="23"/>
  <c r="LN37" i="23"/>
  <c r="LO37" i="23"/>
  <c r="LP37" i="23"/>
  <c r="LQ37" i="23"/>
  <c r="LR37" i="23"/>
  <c r="LS37" i="23"/>
  <c r="LT37" i="23"/>
  <c r="LU37" i="23"/>
  <c r="LV37" i="23"/>
  <c r="LW37" i="23"/>
  <c r="LX37" i="23"/>
  <c r="LY37" i="23"/>
  <c r="LZ37" i="23"/>
  <c r="MA37" i="23"/>
  <c r="MB37" i="23"/>
  <c r="MC37" i="23"/>
  <c r="MD37" i="23"/>
  <c r="ME37" i="23"/>
  <c r="MF37" i="23"/>
  <c r="MG37" i="23"/>
  <c r="MH37" i="23"/>
  <c r="MI37" i="23"/>
  <c r="MJ37" i="23"/>
  <c r="MK37" i="23"/>
  <c r="ML37" i="23"/>
  <c r="MM37" i="23"/>
  <c r="MN37" i="23"/>
  <c r="MO37" i="23"/>
  <c r="MP37" i="23"/>
  <c r="MQ37" i="23"/>
  <c r="MR37" i="23"/>
  <c r="MS37" i="23"/>
  <c r="MT37" i="23"/>
  <c r="MU37" i="23"/>
  <c r="MV37" i="23"/>
  <c r="MW37" i="23"/>
  <c r="MX37"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G27" i="23"/>
  <c r="AH27" i="23"/>
  <c r="AI27" i="23"/>
  <c r="AJ27" i="23"/>
  <c r="AK27" i="23"/>
  <c r="AL27" i="23"/>
  <c r="AM27" i="23"/>
  <c r="AN27" i="23"/>
  <c r="AO27" i="23"/>
  <c r="AP27" i="23"/>
  <c r="AQ27" i="23"/>
  <c r="AR27" i="23"/>
  <c r="AS27" i="23"/>
  <c r="AT27" i="23"/>
  <c r="AU27" i="23"/>
  <c r="AV27" i="23"/>
  <c r="AW27" i="23"/>
  <c r="AX27" i="23"/>
  <c r="AY27" i="23"/>
  <c r="BB27" i="23"/>
  <c r="BE27" i="23"/>
  <c r="BF27" i="23"/>
  <c r="BG27" i="23"/>
  <c r="BH27" i="23"/>
  <c r="BK27" i="23"/>
  <c r="BL27" i="23"/>
  <c r="BM27" i="23"/>
  <c r="BN27" i="23"/>
  <c r="BO27" i="23"/>
  <c r="BP27" i="23"/>
  <c r="BQ27" i="23"/>
  <c r="BR27" i="23"/>
  <c r="BS27" i="23"/>
  <c r="BT27" i="23"/>
  <c r="BU27" i="23"/>
  <c r="BV27" i="23"/>
  <c r="BW27" i="23"/>
  <c r="BZ27" i="23"/>
  <c r="CC27" i="23"/>
  <c r="CF27" i="23"/>
  <c r="CI27" i="23"/>
  <c r="CL27" i="23"/>
  <c r="CO27" i="23"/>
  <c r="CR27" i="23"/>
  <c r="CU27" i="23"/>
  <c r="CX27" i="23"/>
  <c r="DA27" i="23"/>
  <c r="DD27" i="23"/>
  <c r="DG27" i="23"/>
  <c r="DJ27" i="23"/>
  <c r="DK27" i="23"/>
  <c r="DL27" i="23"/>
  <c r="DM27" i="23"/>
  <c r="DN27" i="23"/>
  <c r="DO27" i="23"/>
  <c r="DP27" i="23"/>
  <c r="DQ27" i="23"/>
  <c r="DR27" i="23"/>
  <c r="DS27" i="23"/>
  <c r="DT27" i="23"/>
  <c r="DU27" i="23"/>
  <c r="DV27" i="23"/>
  <c r="DW27" i="23"/>
  <c r="DY27" i="23"/>
  <c r="DZ27" i="23"/>
  <c r="EB27" i="23"/>
  <c r="EE27" i="23"/>
  <c r="EF27" i="23"/>
  <c r="EG27" i="23"/>
  <c r="EH27" i="23"/>
  <c r="EI27" i="23"/>
  <c r="EK27" i="23"/>
  <c r="EN27" i="23"/>
  <c r="EO27" i="23"/>
  <c r="EQ27" i="23"/>
  <c r="ET27" i="23"/>
  <c r="EW27" i="23"/>
  <c r="EX27" i="23"/>
  <c r="EY27" i="23"/>
  <c r="EZ27" i="23"/>
  <c r="FC27" i="23"/>
  <c r="FD27" i="23"/>
  <c r="FF27" i="23"/>
  <c r="FI27" i="23"/>
  <c r="FJ27" i="23"/>
  <c r="FL27" i="23"/>
  <c r="FM27" i="23"/>
  <c r="FN27" i="23"/>
  <c r="FO27" i="23"/>
  <c r="FP27" i="23"/>
  <c r="FR27" i="23"/>
  <c r="FS27" i="23"/>
  <c r="FU27" i="23"/>
  <c r="FV27" i="23"/>
  <c r="FW27" i="23"/>
  <c r="FX27" i="23"/>
  <c r="FY27" i="23"/>
  <c r="FZ27" i="23"/>
  <c r="GA27" i="23"/>
  <c r="GB27" i="23"/>
  <c r="GC27" i="23"/>
  <c r="GD27" i="23"/>
  <c r="GE27" i="23"/>
  <c r="GG27" i="23"/>
  <c r="GH27" i="23"/>
  <c r="GJ27" i="23"/>
  <c r="GN27" i="23"/>
  <c r="GP27" i="23"/>
  <c r="GQ27" i="23"/>
  <c r="GR27" i="23"/>
  <c r="GS27" i="23"/>
  <c r="GY27" i="23"/>
  <c r="HB27" i="23"/>
  <c r="HE27" i="23"/>
  <c r="HH27" i="23"/>
  <c r="HK27" i="23"/>
  <c r="HL27" i="23"/>
  <c r="HM27" i="23"/>
  <c r="HN27" i="23"/>
  <c r="HO27" i="23"/>
  <c r="HP27" i="23"/>
  <c r="HQ27" i="23"/>
  <c r="HR27" i="23"/>
  <c r="HS27" i="23"/>
  <c r="HT27" i="23"/>
  <c r="HU27" i="23"/>
  <c r="HV27" i="23"/>
  <c r="HW27" i="23"/>
  <c r="HX27" i="23"/>
  <c r="HY27" i="23"/>
  <c r="HZ27" i="23"/>
  <c r="IA27" i="23"/>
  <c r="IB27" i="23"/>
  <c r="IC27" i="23"/>
  <c r="ID27" i="23"/>
  <c r="IE27" i="23"/>
  <c r="IF27" i="23"/>
  <c r="IK27" i="23"/>
  <c r="IL27" i="23"/>
  <c r="IM27" i="23"/>
  <c r="IN27" i="23"/>
  <c r="IO27" i="23"/>
  <c r="IQ27" i="23"/>
  <c r="IR27" i="23"/>
  <c r="IS27" i="23"/>
  <c r="IT27" i="23"/>
  <c r="IW27" i="23"/>
  <c r="IX27" i="23"/>
  <c r="IY27" i="23"/>
  <c r="IZ27" i="23"/>
  <c r="JA27" i="23"/>
  <c r="JB27" i="23"/>
  <c r="JC27" i="23"/>
  <c r="JD27" i="23"/>
  <c r="JE27" i="23"/>
  <c r="JF27" i="23"/>
  <c r="JG27" i="23"/>
  <c r="JH27" i="23"/>
  <c r="JI27" i="23"/>
  <c r="JJ27" i="23"/>
  <c r="JK27" i="23"/>
  <c r="JL27" i="23"/>
  <c r="JM27" i="23"/>
  <c r="JN27" i="23"/>
  <c r="JO27" i="23"/>
  <c r="JP27" i="23"/>
  <c r="JR27" i="23"/>
  <c r="JS27" i="23"/>
  <c r="JT27" i="23"/>
  <c r="JU27" i="23"/>
  <c r="JV27" i="23"/>
  <c r="JW27" i="23"/>
  <c r="JX27" i="23"/>
  <c r="JY27" i="23"/>
  <c r="JZ27" i="23"/>
  <c r="KA27" i="23"/>
  <c r="KB27" i="23"/>
  <c r="KD27" i="23"/>
  <c r="KE27" i="23"/>
  <c r="KF27" i="23"/>
  <c r="KG27" i="23"/>
  <c r="KH27" i="23"/>
  <c r="KI27" i="23"/>
  <c r="KJ27" i="23"/>
  <c r="KK27" i="23"/>
  <c r="KL27" i="23"/>
  <c r="KM27" i="23"/>
  <c r="KN27" i="23"/>
  <c r="KO27" i="23"/>
  <c r="KP27" i="23"/>
  <c r="KQ27" i="23"/>
  <c r="KS27" i="23"/>
  <c r="KU27" i="23"/>
  <c r="KV27" i="23"/>
  <c r="KW27" i="23"/>
  <c r="KX27" i="23"/>
  <c r="KY27" i="23"/>
  <c r="KZ27" i="23"/>
  <c r="LA27" i="23"/>
  <c r="LB27" i="23"/>
  <c r="LC27" i="23"/>
  <c r="LD27" i="23"/>
  <c r="LE27" i="23"/>
  <c r="LF27" i="23"/>
  <c r="LH27" i="23"/>
  <c r="LI27" i="23"/>
  <c r="LJ27" i="23"/>
  <c r="LK27" i="23"/>
  <c r="LL27" i="23"/>
  <c r="LM27" i="23"/>
  <c r="LN27" i="23"/>
  <c r="LO27" i="23"/>
  <c r="LP27" i="23"/>
  <c r="LQ27" i="23"/>
  <c r="LR27" i="23"/>
  <c r="LS27" i="23"/>
  <c r="LT27" i="23"/>
  <c r="LU27" i="23"/>
  <c r="LV27" i="23"/>
  <c r="LW27" i="23"/>
  <c r="LX27" i="23"/>
  <c r="LY27" i="23"/>
  <c r="LZ27" i="23"/>
  <c r="MA27" i="23"/>
  <c r="MB27" i="23"/>
  <c r="MC27" i="23"/>
  <c r="MD27" i="23"/>
  <c r="MF27" i="23"/>
  <c r="MG27" i="23"/>
  <c r="MH27" i="23"/>
  <c r="MI27" i="23"/>
  <c r="MJ27" i="23"/>
  <c r="ML27" i="23"/>
  <c r="MM27" i="23"/>
  <c r="MN27" i="23"/>
  <c r="MO27" i="23"/>
  <c r="MP27" i="23"/>
  <c r="MQ27" i="23"/>
  <c r="MR27" i="23"/>
  <c r="MS27" i="23"/>
  <c r="MT27" i="23"/>
  <c r="MU27" i="23"/>
  <c r="MV27" i="23"/>
  <c r="MW27" i="23"/>
  <c r="MX27" i="23"/>
  <c r="F21" i="23"/>
  <c r="G21" i="23"/>
  <c r="H21" i="23"/>
  <c r="I21" i="23"/>
  <c r="J21" i="23"/>
  <c r="K21" i="23"/>
  <c r="L21" i="23"/>
  <c r="M21" i="23"/>
  <c r="N21" i="23"/>
  <c r="O21" i="23"/>
  <c r="P21" i="23"/>
  <c r="Q21" i="23"/>
  <c r="R21" i="23"/>
  <c r="S21" i="23"/>
  <c r="T21" i="23"/>
  <c r="U21" i="23"/>
  <c r="V21" i="23"/>
  <c r="W21" i="23"/>
  <c r="X21" i="23"/>
  <c r="Y21" i="23"/>
  <c r="Z21" i="23"/>
  <c r="AA21" i="23"/>
  <c r="AB21" i="23"/>
  <c r="AC21" i="23"/>
  <c r="AD21" i="23"/>
  <c r="AE21" i="23"/>
  <c r="AF21" i="23"/>
  <c r="AG21" i="23"/>
  <c r="AH21" i="23"/>
  <c r="AI21" i="23"/>
  <c r="AJ21" i="23"/>
  <c r="AK21" i="23"/>
  <c r="AL21" i="23"/>
  <c r="AM21" i="23"/>
  <c r="AN21" i="23"/>
  <c r="AO21" i="23"/>
  <c r="AP21" i="23"/>
  <c r="AQ21" i="23"/>
  <c r="AR21" i="23"/>
  <c r="AS21" i="23"/>
  <c r="AT21" i="23"/>
  <c r="AU21" i="23"/>
  <c r="AV21" i="23"/>
  <c r="AW21" i="23"/>
  <c r="AX21" i="23"/>
  <c r="AY21" i="23"/>
  <c r="AZ21" i="23"/>
  <c r="BA21" i="23"/>
  <c r="BB21" i="23"/>
  <c r="BC21" i="23"/>
  <c r="BD21" i="23"/>
  <c r="BE21" i="23"/>
  <c r="BF21" i="23"/>
  <c r="BG21" i="23"/>
  <c r="BH21" i="23"/>
  <c r="BI21" i="23"/>
  <c r="BJ21" i="23"/>
  <c r="BK21" i="23"/>
  <c r="BL21" i="23"/>
  <c r="BM21" i="23"/>
  <c r="BN21" i="23"/>
  <c r="BO21" i="23"/>
  <c r="BP21" i="23"/>
  <c r="BQ21" i="23"/>
  <c r="BR21" i="23"/>
  <c r="BS21" i="23"/>
  <c r="BT21" i="23"/>
  <c r="BU21" i="23"/>
  <c r="BV21" i="23"/>
  <c r="BW21" i="23"/>
  <c r="BX21" i="23"/>
  <c r="BY21" i="23"/>
  <c r="BZ21" i="23"/>
  <c r="CA21" i="23"/>
  <c r="CB21" i="23"/>
  <c r="CC21" i="23"/>
  <c r="CD21" i="23"/>
  <c r="CE21" i="23"/>
  <c r="CF21" i="23"/>
  <c r="CG21" i="23"/>
  <c r="CH21" i="23"/>
  <c r="CI21" i="23"/>
  <c r="CJ21" i="23"/>
  <c r="CK21" i="23"/>
  <c r="CL21" i="23"/>
  <c r="CM21" i="23"/>
  <c r="CN21" i="23"/>
  <c r="CO21" i="23"/>
  <c r="CP21" i="23"/>
  <c r="CQ21" i="23"/>
  <c r="CR21" i="23"/>
  <c r="CS21" i="23"/>
  <c r="CT21" i="23"/>
  <c r="CU21" i="23"/>
  <c r="CV21" i="23"/>
  <c r="CW21" i="23"/>
  <c r="CX21" i="23"/>
  <c r="CY21" i="23"/>
  <c r="CZ21" i="23"/>
  <c r="DA21" i="23"/>
  <c r="DB21" i="23"/>
  <c r="DC21" i="23"/>
  <c r="DD21" i="23"/>
  <c r="DE21" i="23"/>
  <c r="DF21" i="23"/>
  <c r="DG21" i="23"/>
  <c r="DH21" i="23"/>
  <c r="DI21" i="23"/>
  <c r="DJ21" i="23"/>
  <c r="DK21" i="23"/>
  <c r="DL21" i="23"/>
  <c r="DM21" i="23"/>
  <c r="DN21" i="23"/>
  <c r="DO21" i="23"/>
  <c r="DP21" i="23"/>
  <c r="DQ21" i="23"/>
  <c r="DR21" i="23"/>
  <c r="DS21" i="23"/>
  <c r="DT21" i="23"/>
  <c r="DU21" i="23"/>
  <c r="DV21" i="23"/>
  <c r="DW21" i="23"/>
  <c r="DX21" i="23"/>
  <c r="DY21" i="23"/>
  <c r="DZ21" i="23"/>
  <c r="EA21" i="23"/>
  <c r="EB21" i="23"/>
  <c r="EC21" i="23"/>
  <c r="ED21" i="23"/>
  <c r="EE21" i="23"/>
  <c r="EF21" i="23"/>
  <c r="EG21" i="23"/>
  <c r="EH21" i="23"/>
  <c r="EI21" i="23"/>
  <c r="EJ21" i="23"/>
  <c r="EK21" i="23"/>
  <c r="EL21" i="23"/>
  <c r="EM21" i="23"/>
  <c r="EN21" i="23"/>
  <c r="EO21" i="23"/>
  <c r="EP21" i="23"/>
  <c r="EQ21" i="23"/>
  <c r="ER21" i="23"/>
  <c r="ES21" i="23"/>
  <c r="ET21" i="23"/>
  <c r="EU21" i="23"/>
  <c r="EV21" i="23"/>
  <c r="EW21" i="23"/>
  <c r="EX21" i="23"/>
  <c r="EY21" i="23"/>
  <c r="EZ21" i="23"/>
  <c r="FA21" i="23"/>
  <c r="FB21" i="23"/>
  <c r="FC21" i="23"/>
  <c r="FD21" i="23"/>
  <c r="FE21" i="23"/>
  <c r="FF21" i="23"/>
  <c r="FG21" i="23"/>
  <c r="FH21" i="23"/>
  <c r="FI21" i="23"/>
  <c r="FJ21" i="23"/>
  <c r="FK21" i="23"/>
  <c r="FL21" i="23"/>
  <c r="FM21" i="23"/>
  <c r="FN21" i="23"/>
  <c r="FO21" i="23"/>
  <c r="FP21" i="23"/>
  <c r="FQ21" i="23"/>
  <c r="FR21" i="23"/>
  <c r="FS21" i="23"/>
  <c r="FT21" i="23"/>
  <c r="FU21" i="23"/>
  <c r="FV21" i="23"/>
  <c r="FW21" i="23"/>
  <c r="FX21" i="23"/>
  <c r="FY21" i="23"/>
  <c r="FZ21" i="23"/>
  <c r="GA21" i="23"/>
  <c r="GB21" i="23"/>
  <c r="GC21" i="23"/>
  <c r="GD21" i="23"/>
  <c r="GE21" i="23"/>
  <c r="GF21" i="23"/>
  <c r="GG21" i="23"/>
  <c r="GH21" i="23"/>
  <c r="GI21" i="23"/>
  <c r="GJ21" i="23"/>
  <c r="GN21" i="23"/>
  <c r="GO21" i="23"/>
  <c r="GP21" i="23"/>
  <c r="GQ21" i="23"/>
  <c r="GR21" i="23"/>
  <c r="GS21" i="23"/>
  <c r="GW21" i="23"/>
  <c r="GX21" i="23"/>
  <c r="GY21" i="23"/>
  <c r="GZ21" i="23"/>
  <c r="HA21" i="23"/>
  <c r="HB21" i="23"/>
  <c r="HC21" i="23"/>
  <c r="HD21" i="23"/>
  <c r="HE21" i="23"/>
  <c r="HF21" i="23"/>
  <c r="HG21" i="23"/>
  <c r="HH21" i="23"/>
  <c r="HI21" i="23"/>
  <c r="HJ21" i="23"/>
  <c r="HK21" i="23"/>
  <c r="HL21" i="23"/>
  <c r="HM21" i="23"/>
  <c r="HN21" i="23"/>
  <c r="HO21" i="23"/>
  <c r="HP21" i="23"/>
  <c r="HQ21" i="23"/>
  <c r="HR21" i="23"/>
  <c r="HS21" i="23"/>
  <c r="HT21" i="23"/>
  <c r="HU21" i="23"/>
  <c r="HV21" i="23"/>
  <c r="HW21" i="23"/>
  <c r="HX21" i="23"/>
  <c r="HY21" i="23"/>
  <c r="HZ21" i="23"/>
  <c r="IA21" i="23"/>
  <c r="IB21" i="23"/>
  <c r="IC21" i="23"/>
  <c r="ID21" i="23"/>
  <c r="IE21" i="23"/>
  <c r="IF21" i="23"/>
  <c r="IG21" i="23"/>
  <c r="IH21" i="23"/>
  <c r="IK21" i="23"/>
  <c r="IL21" i="23"/>
  <c r="IM21" i="23"/>
  <c r="IN21" i="23"/>
  <c r="IO21" i="23"/>
  <c r="IP21" i="23"/>
  <c r="IQ21" i="23"/>
  <c r="IR21" i="23"/>
  <c r="IS21" i="23"/>
  <c r="IT21" i="23"/>
  <c r="IU21" i="23"/>
  <c r="IV21" i="23"/>
  <c r="IW21" i="23"/>
  <c r="IX21" i="23"/>
  <c r="IY21" i="23"/>
  <c r="IZ21" i="23"/>
  <c r="JA21" i="23"/>
  <c r="JB21" i="23"/>
  <c r="JC21" i="23"/>
  <c r="JD21" i="23"/>
  <c r="JE21" i="23"/>
  <c r="JF21" i="23"/>
  <c r="JG21" i="23"/>
  <c r="JH21" i="23"/>
  <c r="JI21" i="23"/>
  <c r="JJ21" i="23"/>
  <c r="JK21" i="23"/>
  <c r="JL21" i="23"/>
  <c r="JM21" i="23"/>
  <c r="JN21" i="23"/>
  <c r="JO21" i="23"/>
  <c r="JP21" i="23"/>
  <c r="JQ21" i="23"/>
  <c r="JR21" i="23"/>
  <c r="JS21" i="23"/>
  <c r="JT21" i="23"/>
  <c r="JU21" i="23"/>
  <c r="JV21" i="23"/>
  <c r="JW21" i="23"/>
  <c r="JX21" i="23"/>
  <c r="JY21" i="23"/>
  <c r="JZ21" i="23"/>
  <c r="KA21" i="23"/>
  <c r="KB21" i="23"/>
  <c r="KC21" i="23"/>
  <c r="KD21" i="23"/>
  <c r="KE21" i="23"/>
  <c r="KF21" i="23"/>
  <c r="KG21" i="23"/>
  <c r="KH21" i="23"/>
  <c r="KI21" i="23"/>
  <c r="KJ21" i="23"/>
  <c r="KK21" i="23"/>
  <c r="KL21" i="23"/>
  <c r="KM21" i="23"/>
  <c r="KN21" i="23"/>
  <c r="KO21" i="23"/>
  <c r="KP21" i="23"/>
  <c r="KQ21" i="23"/>
  <c r="KR21" i="23"/>
  <c r="KS21" i="23"/>
  <c r="KT21" i="23"/>
  <c r="KU21" i="23"/>
  <c r="KV21" i="23"/>
  <c r="KW21" i="23"/>
  <c r="KX21" i="23"/>
  <c r="KY21" i="23"/>
  <c r="KZ21" i="23"/>
  <c r="LA21" i="23"/>
  <c r="LB21" i="23"/>
  <c r="LC21" i="23"/>
  <c r="LD21" i="23"/>
  <c r="LE21" i="23"/>
  <c r="LF21" i="23"/>
  <c r="LG21" i="23"/>
  <c r="LH21" i="23"/>
  <c r="LI21" i="23"/>
  <c r="LJ21" i="23"/>
  <c r="LK21" i="23"/>
  <c r="LL21" i="23"/>
  <c r="LM21" i="23"/>
  <c r="LN21" i="23"/>
  <c r="LO21" i="23"/>
  <c r="LP21" i="23"/>
  <c r="LQ21" i="23"/>
  <c r="LR21" i="23"/>
  <c r="LS21" i="23"/>
  <c r="LT21" i="23"/>
  <c r="LU21" i="23"/>
  <c r="LV21" i="23"/>
  <c r="LW21" i="23"/>
  <c r="LX21" i="23"/>
  <c r="LY21" i="23"/>
  <c r="LZ21" i="23"/>
  <c r="MA21" i="23"/>
  <c r="MB21" i="23"/>
  <c r="MC21" i="23"/>
  <c r="MD21" i="23"/>
  <c r="ME21" i="23"/>
  <c r="MF21" i="23"/>
  <c r="MG21" i="23"/>
  <c r="MH21" i="23"/>
  <c r="MI21" i="23"/>
  <c r="MJ21" i="23"/>
  <c r="MK21" i="23"/>
  <c r="ML21" i="23"/>
  <c r="MM21" i="23"/>
  <c r="MN21" i="23"/>
  <c r="MO21" i="23"/>
  <c r="MP21" i="23"/>
  <c r="MQ21" i="23"/>
  <c r="MR21" i="23"/>
  <c r="MS21" i="23"/>
  <c r="MT21" i="23"/>
  <c r="MU21" i="23"/>
  <c r="MV21" i="23"/>
  <c r="MW21" i="23"/>
  <c r="MX21" i="23"/>
  <c r="F18" i="23"/>
  <c r="G18" i="23"/>
  <c r="G59" i="23" s="1"/>
  <c r="H18" i="23"/>
  <c r="H59" i="23" s="1"/>
  <c r="I18" i="23"/>
  <c r="J18" i="23"/>
  <c r="K18" i="23"/>
  <c r="K59" i="23" s="1"/>
  <c r="L18" i="23"/>
  <c r="L59" i="23" s="1"/>
  <c r="M18" i="23"/>
  <c r="N18" i="23"/>
  <c r="O18" i="23"/>
  <c r="P18" i="23"/>
  <c r="P59" i="23" s="1"/>
  <c r="Q18" i="23"/>
  <c r="R18" i="23"/>
  <c r="S18" i="23"/>
  <c r="S59" i="23" s="1"/>
  <c r="T18" i="23"/>
  <c r="T59" i="23" s="1"/>
  <c r="U18" i="23"/>
  <c r="V18" i="23"/>
  <c r="W18" i="23"/>
  <c r="W59" i="23" s="1"/>
  <c r="X18" i="23"/>
  <c r="Y18" i="23"/>
  <c r="Z18" i="23"/>
  <c r="AA18" i="23"/>
  <c r="AA59" i="23" s="1"/>
  <c r="AB18" i="23"/>
  <c r="AC18" i="23"/>
  <c r="AD18" i="23"/>
  <c r="AE18" i="23"/>
  <c r="AE59" i="23" s="1"/>
  <c r="AF18" i="23"/>
  <c r="AF59" i="23" s="1"/>
  <c r="AG18" i="23"/>
  <c r="AJ18" i="23"/>
  <c r="AK18" i="23"/>
  <c r="AL18" i="23"/>
  <c r="AM18" i="23"/>
  <c r="AN18" i="23"/>
  <c r="AO18" i="23"/>
  <c r="AO59" i="23" s="1"/>
  <c r="AP18" i="23"/>
  <c r="AQ18" i="23"/>
  <c r="AR18" i="23"/>
  <c r="AS18" i="23"/>
  <c r="AT18" i="23"/>
  <c r="AU18" i="23"/>
  <c r="AV18" i="23"/>
  <c r="AW18" i="23"/>
  <c r="AW59" i="23" s="1"/>
  <c r="AX18" i="23"/>
  <c r="AY18" i="23"/>
  <c r="AZ18" i="23"/>
  <c r="AZ59" i="23" s="1"/>
  <c r="BA18" i="23"/>
  <c r="BB18" i="23"/>
  <c r="BC18" i="23"/>
  <c r="BD18" i="23"/>
  <c r="BE18" i="23"/>
  <c r="BE59" i="23" s="1"/>
  <c r="BF18" i="23"/>
  <c r="BG18" i="23"/>
  <c r="BH18" i="23"/>
  <c r="BI18" i="23"/>
  <c r="BI59" i="23" s="1"/>
  <c r="BJ18" i="23"/>
  <c r="BK18" i="23"/>
  <c r="BL18" i="23"/>
  <c r="BM18" i="23"/>
  <c r="BM59" i="23" s="1"/>
  <c r="BN18" i="23"/>
  <c r="BO18" i="23"/>
  <c r="BP18" i="23"/>
  <c r="BQ18" i="23"/>
  <c r="BR18" i="23"/>
  <c r="BS18" i="23"/>
  <c r="BT18" i="23"/>
  <c r="BU18" i="23"/>
  <c r="BV18" i="23"/>
  <c r="BW18" i="23"/>
  <c r="BX18" i="23"/>
  <c r="BY18" i="23"/>
  <c r="BY59" i="23" s="1"/>
  <c r="BZ18" i="23"/>
  <c r="CA18" i="23"/>
  <c r="CB18" i="23"/>
  <c r="CB59" i="23" s="1"/>
  <c r="CC18" i="23"/>
  <c r="CD18" i="23"/>
  <c r="CE18" i="23"/>
  <c r="CF18" i="23"/>
  <c r="CG18" i="23"/>
  <c r="CH18" i="23"/>
  <c r="CI18" i="23"/>
  <c r="CJ18" i="23"/>
  <c r="CJ59" i="23" s="1"/>
  <c r="CK18" i="23"/>
  <c r="CK59" i="23" s="1"/>
  <c r="CL18" i="23"/>
  <c r="CM18" i="23"/>
  <c r="CN18" i="23"/>
  <c r="CO18" i="23"/>
  <c r="CO59" i="23" s="1"/>
  <c r="CP18" i="23"/>
  <c r="CQ18" i="23"/>
  <c r="CR18" i="23"/>
  <c r="CS18" i="23"/>
  <c r="CS59" i="23" s="1"/>
  <c r="CT18" i="23"/>
  <c r="CU18" i="23"/>
  <c r="CV18" i="23"/>
  <c r="CW18" i="23"/>
  <c r="CX18" i="23"/>
  <c r="CY18" i="23"/>
  <c r="CZ18" i="23"/>
  <c r="DA18" i="23"/>
  <c r="DA59" i="23" s="1"/>
  <c r="DB18" i="23"/>
  <c r="DC18" i="23"/>
  <c r="DD18" i="23"/>
  <c r="DE18" i="23"/>
  <c r="DE59" i="23" s="1"/>
  <c r="DF18" i="23"/>
  <c r="DG18" i="23"/>
  <c r="DH18" i="23"/>
  <c r="DH59" i="23" s="1"/>
  <c r="DI18" i="23"/>
  <c r="DJ18" i="23"/>
  <c r="DK18" i="23"/>
  <c r="DL18" i="23"/>
  <c r="DM18" i="23"/>
  <c r="DN18" i="23"/>
  <c r="DO18" i="23"/>
  <c r="DP18" i="23"/>
  <c r="DQ18" i="23"/>
  <c r="DQ59" i="23" s="1"/>
  <c r="DR18" i="23"/>
  <c r="DS18" i="23"/>
  <c r="DT18" i="23"/>
  <c r="DU18" i="23"/>
  <c r="DU59" i="23" s="1"/>
  <c r="DV18" i="23"/>
  <c r="DW18" i="23"/>
  <c r="DX18" i="23"/>
  <c r="DY18" i="23"/>
  <c r="DY59" i="23" s="1"/>
  <c r="DZ18" i="23"/>
  <c r="EA18" i="23"/>
  <c r="EB18" i="23"/>
  <c r="EC18" i="23"/>
  <c r="EC59" i="23" s="1"/>
  <c r="ED18" i="23"/>
  <c r="EE18" i="23"/>
  <c r="EF18" i="23"/>
  <c r="EG18" i="23"/>
  <c r="EH18" i="23"/>
  <c r="EI18" i="23"/>
  <c r="EJ18" i="23"/>
  <c r="EK18" i="23"/>
  <c r="EK59" i="23" s="1"/>
  <c r="EL18" i="23"/>
  <c r="EM18" i="23"/>
  <c r="EN18" i="23"/>
  <c r="EO18" i="23"/>
  <c r="EO59" i="23" s="1"/>
  <c r="EP18" i="23"/>
  <c r="EQ18" i="23"/>
  <c r="ER18" i="23"/>
  <c r="ER59" i="23" s="1"/>
  <c r="ES18" i="23"/>
  <c r="ES59" i="23" s="1"/>
  <c r="ET18" i="23"/>
  <c r="EU18" i="23"/>
  <c r="EV18" i="23"/>
  <c r="EW18" i="23"/>
  <c r="EW59" i="23" s="1"/>
  <c r="EX18" i="23"/>
  <c r="EY18" i="23"/>
  <c r="EZ18" i="23"/>
  <c r="FA18" i="23"/>
  <c r="FA59" i="23" s="1"/>
  <c r="FB18" i="23"/>
  <c r="FC18" i="23"/>
  <c r="FD18" i="23"/>
  <c r="FE18" i="23"/>
  <c r="FE59" i="23" s="1"/>
  <c r="FF18" i="23"/>
  <c r="FG18" i="23"/>
  <c r="FH18" i="23"/>
  <c r="FI18" i="23"/>
  <c r="FJ18" i="23"/>
  <c r="FK18" i="23"/>
  <c r="FL18" i="23"/>
  <c r="FM18" i="23"/>
  <c r="FM59" i="23" s="1"/>
  <c r="FN18" i="23"/>
  <c r="FO18" i="23"/>
  <c r="FP18" i="23"/>
  <c r="FQ18" i="23"/>
  <c r="FR18" i="23"/>
  <c r="FS18" i="23"/>
  <c r="FT18" i="23"/>
  <c r="FU18" i="23"/>
  <c r="FU59" i="23" s="1"/>
  <c r="FV18" i="23"/>
  <c r="FW18" i="23"/>
  <c r="FX18" i="23"/>
  <c r="FY18" i="23"/>
  <c r="FY59" i="23" s="1"/>
  <c r="FZ18" i="23"/>
  <c r="GA18" i="23"/>
  <c r="GB18" i="23"/>
  <c r="GC18" i="23"/>
  <c r="GC59" i="23" s="1"/>
  <c r="GD18" i="23"/>
  <c r="GE18" i="23"/>
  <c r="GF18" i="23"/>
  <c r="GG18" i="23"/>
  <c r="GG59" i="23" s="1"/>
  <c r="GH18" i="23"/>
  <c r="GI18" i="23"/>
  <c r="GJ18" i="23"/>
  <c r="GN18" i="23"/>
  <c r="GN59" i="23" s="1"/>
  <c r="GO18" i="23"/>
  <c r="GP18" i="23"/>
  <c r="GQ18" i="23"/>
  <c r="GR18" i="23"/>
  <c r="GS18" i="23"/>
  <c r="GW18" i="23"/>
  <c r="GX18" i="23"/>
  <c r="GY18" i="23"/>
  <c r="GZ18" i="23"/>
  <c r="HA18" i="23"/>
  <c r="HB18" i="23"/>
  <c r="HC18" i="23"/>
  <c r="HC59" i="23" s="1"/>
  <c r="HD18" i="23"/>
  <c r="HE18" i="23"/>
  <c r="HF18" i="23"/>
  <c r="HG18" i="23"/>
  <c r="HH18" i="23"/>
  <c r="HI18" i="23"/>
  <c r="HJ18" i="23"/>
  <c r="HK18" i="23"/>
  <c r="HL18" i="23"/>
  <c r="HM18" i="23"/>
  <c r="HN18" i="23"/>
  <c r="HO18" i="23"/>
  <c r="HP18" i="23"/>
  <c r="HQ18" i="23"/>
  <c r="HR18" i="23"/>
  <c r="HS18" i="23"/>
  <c r="HT18" i="23"/>
  <c r="HU18" i="23"/>
  <c r="HV18" i="23"/>
  <c r="HW18" i="23"/>
  <c r="HX18" i="23"/>
  <c r="HY18" i="23"/>
  <c r="HZ18" i="23"/>
  <c r="IA18" i="23"/>
  <c r="IB18" i="23"/>
  <c r="IC18" i="23"/>
  <c r="ID18" i="23"/>
  <c r="IE18" i="23"/>
  <c r="IF18" i="23"/>
  <c r="IG18" i="23"/>
  <c r="IH18" i="23"/>
  <c r="II18" i="23"/>
  <c r="II59" i="23" s="1"/>
  <c r="IJ18" i="23"/>
  <c r="IK18" i="23"/>
  <c r="IL18" i="23"/>
  <c r="IM18" i="23"/>
  <c r="IM59" i="23" s="1"/>
  <c r="IN18" i="23"/>
  <c r="IO18" i="23"/>
  <c r="IP18" i="23"/>
  <c r="IQ18" i="23"/>
  <c r="IQ59" i="23" s="1"/>
  <c r="IR18" i="23"/>
  <c r="IS18" i="23"/>
  <c r="IT18" i="23"/>
  <c r="IU18" i="23"/>
  <c r="IU59" i="23" s="1"/>
  <c r="IV18" i="23"/>
  <c r="IW18" i="23"/>
  <c r="IX18" i="23"/>
  <c r="IY18" i="23"/>
  <c r="IZ18" i="23"/>
  <c r="JA18" i="23"/>
  <c r="JB18" i="23"/>
  <c r="JC18" i="23"/>
  <c r="JC59" i="23" s="1"/>
  <c r="JD18" i="23"/>
  <c r="JE18" i="23"/>
  <c r="JF18" i="23"/>
  <c r="JG18" i="23"/>
  <c r="JG59" i="23" s="1"/>
  <c r="JH18" i="23"/>
  <c r="JI18" i="23"/>
  <c r="JJ18" i="23"/>
  <c r="JK18" i="23"/>
  <c r="JK59" i="23" s="1"/>
  <c r="JL18" i="23"/>
  <c r="JM18" i="23"/>
  <c r="JN18" i="23"/>
  <c r="JO18" i="23"/>
  <c r="JP18" i="23"/>
  <c r="JQ18" i="23"/>
  <c r="JR18" i="23"/>
  <c r="JS18" i="23"/>
  <c r="JS59" i="23" s="1"/>
  <c r="JT18" i="23"/>
  <c r="JU18" i="23"/>
  <c r="JV18" i="23"/>
  <c r="JW18" i="23"/>
  <c r="JW59" i="23" s="1"/>
  <c r="JX18" i="23"/>
  <c r="JY18" i="23"/>
  <c r="JZ18" i="23"/>
  <c r="KA18" i="23"/>
  <c r="KA59" i="23" s="1"/>
  <c r="KB18" i="23"/>
  <c r="KC18" i="23"/>
  <c r="KD18" i="23"/>
  <c r="KE18" i="23"/>
  <c r="KF18" i="23"/>
  <c r="KG18" i="23"/>
  <c r="KH18" i="23"/>
  <c r="KI18" i="23"/>
  <c r="KI59" i="23" s="1"/>
  <c r="KJ18" i="23"/>
  <c r="KK18" i="23"/>
  <c r="KL18" i="23"/>
  <c r="KM18" i="23"/>
  <c r="KM59" i="23" s="1"/>
  <c r="KN18" i="23"/>
  <c r="KN59" i="23" s="1"/>
  <c r="KO18" i="23"/>
  <c r="KP18" i="23"/>
  <c r="KQ18" i="23"/>
  <c r="KQ59" i="23" s="1"/>
  <c r="KR18" i="23"/>
  <c r="KR59" i="23" s="1"/>
  <c r="KS18" i="23"/>
  <c r="KT18" i="23"/>
  <c r="KU18" i="23"/>
  <c r="KV18" i="23"/>
  <c r="KW18" i="23"/>
  <c r="KX18" i="23"/>
  <c r="KY18" i="23"/>
  <c r="KY59" i="23" s="1"/>
  <c r="KZ18" i="23"/>
  <c r="LA18" i="23"/>
  <c r="LB18" i="23"/>
  <c r="LC18" i="23"/>
  <c r="LC59" i="23" s="1"/>
  <c r="LD18" i="23"/>
  <c r="LE18" i="23"/>
  <c r="LF18" i="23"/>
  <c r="LG18" i="23"/>
  <c r="LH18" i="23"/>
  <c r="LI18" i="23"/>
  <c r="LJ18" i="23"/>
  <c r="LK18" i="23"/>
  <c r="LK59" i="23" s="1"/>
  <c r="LL18" i="23"/>
  <c r="LM18" i="23"/>
  <c r="LN18" i="23"/>
  <c r="LO18" i="23"/>
  <c r="LO59" i="23" s="1"/>
  <c r="LP18" i="23"/>
  <c r="LQ18" i="23"/>
  <c r="LR18" i="23"/>
  <c r="LR59" i="23" s="1"/>
  <c r="LS18" i="23"/>
  <c r="LS59" i="23" s="1"/>
  <c r="LT18" i="23"/>
  <c r="LU18" i="23"/>
  <c r="LV18" i="23"/>
  <c r="LW18" i="23"/>
  <c r="LW59" i="23" s="1"/>
  <c r="LX18" i="23"/>
  <c r="LY18" i="23"/>
  <c r="LZ18" i="23"/>
  <c r="MA18" i="23"/>
  <c r="MA59" i="23" s="1"/>
  <c r="MB18" i="23"/>
  <c r="MC18" i="23"/>
  <c r="MD18" i="23"/>
  <c r="MD59" i="23" s="1"/>
  <c r="ME18" i="23"/>
  <c r="ME59" i="23" s="1"/>
  <c r="MF18" i="23"/>
  <c r="MG18" i="23"/>
  <c r="MH18" i="23"/>
  <c r="MH59" i="23" s="1"/>
  <c r="MI18" i="23"/>
  <c r="MI59" i="23" s="1"/>
  <c r="MJ18" i="23"/>
  <c r="MK18" i="23"/>
  <c r="ML18" i="23"/>
  <c r="MM18" i="23"/>
  <c r="MM59" i="23" s="1"/>
  <c r="MN18" i="23"/>
  <c r="MO18" i="23"/>
  <c r="MP18" i="23"/>
  <c r="MQ18" i="23"/>
  <c r="MQ59" i="23" s="1"/>
  <c r="MR18" i="23"/>
  <c r="MS18" i="23"/>
  <c r="MT18" i="23"/>
  <c r="MT59" i="23" s="1"/>
  <c r="MU18" i="23"/>
  <c r="MU59" i="23" s="1"/>
  <c r="MV18" i="23"/>
  <c r="MW18" i="23"/>
  <c r="MX18"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AM12" i="23"/>
  <c r="AN12" i="23"/>
  <c r="AO12" i="23"/>
  <c r="AP12" i="23"/>
  <c r="AQ12" i="23"/>
  <c r="AR12" i="23"/>
  <c r="AS12" i="23"/>
  <c r="AT12" i="23"/>
  <c r="AU12" i="23"/>
  <c r="AV12" i="23"/>
  <c r="AW12" i="23"/>
  <c r="AX12" i="23"/>
  <c r="AY12" i="23"/>
  <c r="AZ12" i="23"/>
  <c r="BA12" i="23"/>
  <c r="BB12" i="23"/>
  <c r="BC12" i="23"/>
  <c r="BD12" i="23"/>
  <c r="BE12" i="23"/>
  <c r="BF12" i="23"/>
  <c r="BG12" i="23"/>
  <c r="BH12" i="23"/>
  <c r="BI12" i="23"/>
  <c r="BJ12" i="23"/>
  <c r="BK12" i="23"/>
  <c r="BL12" i="23"/>
  <c r="BM12" i="23"/>
  <c r="BN12" i="23"/>
  <c r="BO12" i="23"/>
  <c r="BP12" i="23"/>
  <c r="BQ12" i="23"/>
  <c r="BR12" i="23"/>
  <c r="BS12" i="23"/>
  <c r="BT12" i="23"/>
  <c r="BU12" i="23"/>
  <c r="BV12" i="23"/>
  <c r="BW12" i="23"/>
  <c r="BX12" i="23"/>
  <c r="BY12" i="23"/>
  <c r="BZ12" i="23"/>
  <c r="CA12" i="23"/>
  <c r="CB12" i="23"/>
  <c r="CC12" i="23"/>
  <c r="CD12" i="23"/>
  <c r="CE12" i="23"/>
  <c r="CF12" i="23"/>
  <c r="CG12" i="23"/>
  <c r="CH12" i="23"/>
  <c r="CI12" i="23"/>
  <c r="CJ12" i="23"/>
  <c r="CK12" i="23"/>
  <c r="CL12" i="23"/>
  <c r="CM12" i="23"/>
  <c r="CN12" i="23"/>
  <c r="CO12" i="23"/>
  <c r="CP12" i="23"/>
  <c r="CQ12" i="23"/>
  <c r="CR12" i="23"/>
  <c r="CS12" i="23"/>
  <c r="CT12" i="23"/>
  <c r="CU12" i="23"/>
  <c r="CV12" i="23"/>
  <c r="CW12" i="23"/>
  <c r="CX12" i="23"/>
  <c r="CY12" i="23"/>
  <c r="CZ12" i="23"/>
  <c r="DA12" i="23"/>
  <c r="DB12" i="23"/>
  <c r="DC12" i="23"/>
  <c r="DD12" i="23"/>
  <c r="DE12" i="23"/>
  <c r="DF12" i="23"/>
  <c r="DG12" i="23"/>
  <c r="DH12" i="23"/>
  <c r="DI12" i="23"/>
  <c r="DJ12" i="23"/>
  <c r="DK12" i="23"/>
  <c r="DL12" i="23"/>
  <c r="DM12" i="23"/>
  <c r="DN12" i="23"/>
  <c r="DO12" i="23"/>
  <c r="DP12" i="23"/>
  <c r="DQ12" i="23"/>
  <c r="DR12" i="23"/>
  <c r="DS12" i="23"/>
  <c r="DT12" i="23"/>
  <c r="DU12" i="23"/>
  <c r="DV12" i="23"/>
  <c r="DW12" i="23"/>
  <c r="DX12" i="23"/>
  <c r="DY12" i="23"/>
  <c r="DZ12" i="23"/>
  <c r="EA12" i="23"/>
  <c r="EB12" i="23"/>
  <c r="EC12" i="23"/>
  <c r="ED12" i="23"/>
  <c r="EE12" i="23"/>
  <c r="EF12" i="23"/>
  <c r="EG12" i="23"/>
  <c r="EH12" i="23"/>
  <c r="EI12" i="23"/>
  <c r="EJ12" i="23"/>
  <c r="EK12" i="23"/>
  <c r="EL12" i="23"/>
  <c r="EM12" i="23"/>
  <c r="EN12" i="23"/>
  <c r="EO12" i="23"/>
  <c r="EP12" i="23"/>
  <c r="EQ12" i="23"/>
  <c r="ER12" i="23"/>
  <c r="ES12" i="23"/>
  <c r="ET12" i="23"/>
  <c r="EU12" i="23"/>
  <c r="EV12" i="23"/>
  <c r="EW12" i="23"/>
  <c r="EX12" i="23"/>
  <c r="EY12" i="23"/>
  <c r="EZ12" i="23"/>
  <c r="FA12" i="23"/>
  <c r="FB12" i="23"/>
  <c r="FC12" i="23"/>
  <c r="FD12" i="23"/>
  <c r="FE12" i="23"/>
  <c r="FF12" i="23"/>
  <c r="FG12" i="23"/>
  <c r="FH12" i="23"/>
  <c r="FI12" i="23"/>
  <c r="FJ12" i="23"/>
  <c r="FK12" i="23"/>
  <c r="FL12" i="23"/>
  <c r="FM12" i="23"/>
  <c r="FN12" i="23"/>
  <c r="FO12" i="23"/>
  <c r="FP12" i="23"/>
  <c r="FQ12" i="23"/>
  <c r="FR12" i="23"/>
  <c r="FS12" i="23"/>
  <c r="FT12" i="23"/>
  <c r="FU12" i="23"/>
  <c r="FV12" i="23"/>
  <c r="FW12" i="23"/>
  <c r="FX12" i="23"/>
  <c r="FY12" i="23"/>
  <c r="FZ12" i="23"/>
  <c r="GA12" i="23"/>
  <c r="GB12" i="23"/>
  <c r="GC12" i="23"/>
  <c r="GD12" i="23"/>
  <c r="GE12" i="23"/>
  <c r="GF12" i="23"/>
  <c r="GG12" i="23"/>
  <c r="GH12" i="23"/>
  <c r="GI12" i="23"/>
  <c r="GJ12" i="23"/>
  <c r="GN12" i="23"/>
  <c r="GO12" i="23"/>
  <c r="GP12" i="23"/>
  <c r="GQ12" i="23"/>
  <c r="GR12" i="23"/>
  <c r="GS12" i="23"/>
  <c r="GW12" i="23"/>
  <c r="GX12" i="23"/>
  <c r="GY12" i="23"/>
  <c r="GZ12" i="23"/>
  <c r="HA12" i="23"/>
  <c r="HB12" i="23"/>
  <c r="HC12" i="23"/>
  <c r="HD12" i="23"/>
  <c r="HE12" i="23"/>
  <c r="HF12" i="23"/>
  <c r="HG12" i="23"/>
  <c r="HH12" i="23"/>
  <c r="HI12" i="23"/>
  <c r="HJ12" i="23"/>
  <c r="HK12" i="23"/>
  <c r="HL12" i="23"/>
  <c r="HM12" i="23"/>
  <c r="HN12" i="23"/>
  <c r="HO12" i="23"/>
  <c r="HP12" i="23"/>
  <c r="HQ12" i="23"/>
  <c r="HR12" i="23"/>
  <c r="HS12" i="23"/>
  <c r="HT12" i="23"/>
  <c r="HU12" i="23"/>
  <c r="HV12" i="23"/>
  <c r="HW12" i="23"/>
  <c r="HX12" i="23"/>
  <c r="HY12" i="23"/>
  <c r="HZ12" i="23"/>
  <c r="IA12" i="23"/>
  <c r="IB12" i="23"/>
  <c r="IC12" i="23"/>
  <c r="ID12" i="23"/>
  <c r="IE12" i="23"/>
  <c r="IF12" i="23"/>
  <c r="II12" i="23"/>
  <c r="IJ12" i="23"/>
  <c r="IK12" i="23"/>
  <c r="IL12" i="23"/>
  <c r="IM12" i="23"/>
  <c r="IN12" i="23"/>
  <c r="IO12" i="23"/>
  <c r="IP12" i="23"/>
  <c r="IQ12" i="23"/>
  <c r="IR12" i="23"/>
  <c r="IS12" i="23"/>
  <c r="IT12" i="23"/>
  <c r="IU12" i="23"/>
  <c r="IV12" i="23"/>
  <c r="IW12" i="23"/>
  <c r="IX12" i="23"/>
  <c r="IY12" i="23"/>
  <c r="IZ12" i="23"/>
  <c r="JA12" i="23"/>
  <c r="JB12" i="23"/>
  <c r="JC12" i="23"/>
  <c r="JD12" i="23"/>
  <c r="JE12" i="23"/>
  <c r="JF12" i="23"/>
  <c r="JG12" i="23"/>
  <c r="JH12" i="23"/>
  <c r="JI12" i="23"/>
  <c r="JJ12" i="23"/>
  <c r="JK12" i="23"/>
  <c r="JL12" i="23"/>
  <c r="JM12" i="23"/>
  <c r="JN12" i="23"/>
  <c r="JO12" i="23"/>
  <c r="JP12" i="23"/>
  <c r="JQ12" i="23"/>
  <c r="JR12" i="23"/>
  <c r="JS12" i="23"/>
  <c r="JT12" i="23"/>
  <c r="JV12" i="23"/>
  <c r="JW12" i="23"/>
  <c r="JX12" i="23"/>
  <c r="JY12" i="23"/>
  <c r="JZ12" i="23"/>
  <c r="KA12" i="23"/>
  <c r="KB12" i="23"/>
  <c r="KC12" i="23"/>
  <c r="KD12" i="23"/>
  <c r="KE12" i="23"/>
  <c r="KF12" i="23"/>
  <c r="KG12" i="23"/>
  <c r="KH12" i="23"/>
  <c r="KI12" i="23"/>
  <c r="KJ12" i="23"/>
  <c r="KK12" i="23"/>
  <c r="KL12" i="23"/>
  <c r="KM12" i="23"/>
  <c r="KN12" i="23"/>
  <c r="KO12" i="23"/>
  <c r="KP12" i="23"/>
  <c r="KQ12" i="23"/>
  <c r="KR12" i="23"/>
  <c r="KS12" i="23"/>
  <c r="KU12" i="23"/>
  <c r="KV12" i="23"/>
  <c r="KW12" i="23"/>
  <c r="KX12" i="23"/>
  <c r="KY12" i="23"/>
  <c r="KZ12" i="23"/>
  <c r="LA12" i="23"/>
  <c r="LB12" i="23"/>
  <c r="LC12" i="23"/>
  <c r="LD12" i="23"/>
  <c r="LE12" i="23"/>
  <c r="LF12" i="23"/>
  <c r="LG12" i="23"/>
  <c r="LH12" i="23"/>
  <c r="LI12" i="23"/>
  <c r="LJ12" i="23"/>
  <c r="LK12" i="23"/>
  <c r="LL12" i="23"/>
  <c r="LM12" i="23"/>
  <c r="LN12" i="23"/>
  <c r="LO12" i="23"/>
  <c r="LP12" i="23"/>
  <c r="LQ12" i="23"/>
  <c r="LR12" i="23"/>
  <c r="LS12" i="23"/>
  <c r="LT12" i="23"/>
  <c r="LU12" i="23"/>
  <c r="LV12" i="23"/>
  <c r="LW12" i="23"/>
  <c r="LX12" i="23"/>
  <c r="LY12" i="23"/>
  <c r="LZ12" i="23"/>
  <c r="MA12" i="23"/>
  <c r="MB12" i="23"/>
  <c r="MC12" i="23"/>
  <c r="MD12" i="23"/>
  <c r="ME12" i="23"/>
  <c r="MF12" i="23"/>
  <c r="MG12" i="23"/>
  <c r="MH12" i="23"/>
  <c r="MI12" i="23"/>
  <c r="MJ12" i="23"/>
  <c r="MK12" i="23"/>
  <c r="ML12" i="23"/>
  <c r="MM12" i="23"/>
  <c r="MN12" i="23"/>
  <c r="MO12" i="23"/>
  <c r="MP12" i="23"/>
  <c r="MQ12" i="23"/>
  <c r="MR12" i="23"/>
  <c r="MS12" i="23"/>
  <c r="MT12" i="23"/>
  <c r="MU12" i="23"/>
  <c r="MV12" i="23"/>
  <c r="MW12" i="23"/>
  <c r="MX12" i="23"/>
  <c r="DS9" i="105"/>
  <c r="DS10" i="105"/>
  <c r="DS11" i="105"/>
  <c r="DS12" i="105"/>
  <c r="DS13" i="105"/>
  <c r="DS14" i="105"/>
  <c r="DS15" i="105"/>
  <c r="DV15" i="105" s="1"/>
  <c r="DS16" i="105"/>
  <c r="DS17" i="105"/>
  <c r="DS18" i="105"/>
  <c r="DS19" i="105"/>
  <c r="DS20" i="105"/>
  <c r="DS21" i="105"/>
  <c r="DS22" i="105"/>
  <c r="DS23" i="105"/>
  <c r="DV23" i="105" s="1"/>
  <c r="DS24" i="105"/>
  <c r="DV24" i="105" s="1"/>
  <c r="DS25" i="105"/>
  <c r="DS26" i="105"/>
  <c r="DS27" i="105"/>
  <c r="DS28" i="105"/>
  <c r="DS29" i="105"/>
  <c r="DS30" i="105"/>
  <c r="DS31" i="105"/>
  <c r="DS32" i="105"/>
  <c r="DS33" i="105"/>
  <c r="DS34" i="105"/>
  <c r="DS35" i="105"/>
  <c r="DS36" i="105"/>
  <c r="DS37" i="105"/>
  <c r="DS38" i="105"/>
  <c r="DS39" i="105"/>
  <c r="DS40" i="105"/>
  <c r="DS41" i="105"/>
  <c r="DS42" i="105"/>
  <c r="DS43" i="105"/>
  <c r="DS44" i="105"/>
  <c r="DS45" i="105"/>
  <c r="DS46" i="105"/>
  <c r="DS47" i="105"/>
  <c r="DS48" i="105"/>
  <c r="DS49" i="105"/>
  <c r="DS50" i="105"/>
  <c r="DS8" i="105"/>
  <c r="DV8" i="105" s="1"/>
  <c r="DP30" i="105"/>
  <c r="DP31" i="105"/>
  <c r="DP32" i="105"/>
  <c r="DP33" i="105"/>
  <c r="DP34" i="105"/>
  <c r="DP35" i="105"/>
  <c r="DP36" i="105"/>
  <c r="DP39" i="105"/>
  <c r="DP40" i="105"/>
  <c r="DP41" i="105"/>
  <c r="DP42" i="105"/>
  <c r="DP43" i="105"/>
  <c r="DP44" i="105"/>
  <c r="DP45" i="105"/>
  <c r="DP49" i="105"/>
  <c r="DP50" i="105"/>
  <c r="DM30" i="105"/>
  <c r="DM31" i="105"/>
  <c r="DM32" i="105"/>
  <c r="DM33" i="105"/>
  <c r="DM34" i="105"/>
  <c r="DM35" i="105"/>
  <c r="DM36" i="105"/>
  <c r="DM39" i="105"/>
  <c r="DM40" i="105"/>
  <c r="DM41" i="105"/>
  <c r="DM42" i="105"/>
  <c r="DM43" i="105"/>
  <c r="DM44" i="105"/>
  <c r="DM45" i="105"/>
  <c r="DM49" i="105"/>
  <c r="DM50" i="105"/>
  <c r="F39" i="74"/>
  <c r="G39" i="74"/>
  <c r="H39" i="74"/>
  <c r="I39" i="74"/>
  <c r="J39" i="74"/>
  <c r="K39" i="74"/>
  <c r="L39" i="74"/>
  <c r="M39" i="74"/>
  <c r="N39" i="74"/>
  <c r="O39" i="74"/>
  <c r="P39" i="74"/>
  <c r="Q39" i="74"/>
  <c r="R39" i="74"/>
  <c r="S39" i="74"/>
  <c r="T39" i="74"/>
  <c r="U39" i="74"/>
  <c r="V39" i="74"/>
  <c r="W39" i="74"/>
  <c r="X39" i="74"/>
  <c r="F39" i="40"/>
  <c r="G39" i="40"/>
  <c r="H39" i="40"/>
  <c r="I39" i="40"/>
  <c r="J39" i="40"/>
  <c r="K39" i="40"/>
  <c r="L39" i="40"/>
  <c r="M39" i="40"/>
  <c r="N39" i="40"/>
  <c r="O39" i="40"/>
  <c r="P39" i="40"/>
  <c r="Q39" i="40"/>
  <c r="R39" i="40"/>
  <c r="S39" i="40"/>
  <c r="T39" i="40"/>
  <c r="U39" i="40"/>
  <c r="V39" i="40"/>
  <c r="W39" i="40"/>
  <c r="X39" i="40"/>
  <c r="Y39" i="40"/>
  <c r="Z39" i="40"/>
  <c r="AA39" i="40"/>
  <c r="AB39" i="40"/>
  <c r="AC39" i="40"/>
  <c r="AD39" i="40"/>
  <c r="AE39" i="40"/>
  <c r="AF39" i="40"/>
  <c r="AG39" i="40"/>
  <c r="AH39" i="40"/>
  <c r="AI39" i="40"/>
  <c r="AJ39" i="40"/>
  <c r="AK39" i="40"/>
  <c r="AL39" i="40"/>
  <c r="AM39" i="40"/>
  <c r="AN39" i="40"/>
  <c r="AO39" i="40"/>
  <c r="AP39" i="40"/>
  <c r="AQ39" i="40"/>
  <c r="AR39" i="40"/>
  <c r="AS39" i="40"/>
  <c r="AT39" i="40"/>
  <c r="AU39" i="40"/>
  <c r="AV39" i="40"/>
  <c r="AW39" i="40"/>
  <c r="AX39" i="40"/>
  <c r="AY39" i="40"/>
  <c r="AZ39" i="40"/>
  <c r="BA39" i="40"/>
  <c r="BB39" i="40"/>
  <c r="BC39" i="40"/>
  <c r="BD39" i="40"/>
  <c r="BE39" i="40"/>
  <c r="BF39" i="40"/>
  <c r="BG39" i="40"/>
  <c r="BH39" i="40"/>
  <c r="AF10" i="73"/>
  <c r="AG10" i="73" s="1"/>
  <c r="AF11" i="73"/>
  <c r="AF12" i="73"/>
  <c r="AF14" i="73"/>
  <c r="AG14" i="73" s="1"/>
  <c r="AF15" i="73"/>
  <c r="AG15" i="73" s="1"/>
  <c r="AF16" i="73"/>
  <c r="AF17" i="73"/>
  <c r="AF18" i="73"/>
  <c r="AG18" i="73" s="1"/>
  <c r="AF19" i="73"/>
  <c r="AF20" i="73"/>
  <c r="AF22" i="73"/>
  <c r="AF23" i="73"/>
  <c r="AG23" i="73" s="1"/>
  <c r="AF24" i="73"/>
  <c r="AG24" i="73" s="1"/>
  <c r="AF25" i="73"/>
  <c r="AF26" i="73"/>
  <c r="AF27" i="73"/>
  <c r="AG27" i="73" s="1"/>
  <c r="AF31" i="73"/>
  <c r="AG31" i="73" s="1"/>
  <c r="AF32" i="73"/>
  <c r="AF33" i="73"/>
  <c r="AF34" i="73"/>
  <c r="AF35" i="73"/>
  <c r="AF36" i="73"/>
  <c r="AF37" i="73"/>
  <c r="AF40" i="73"/>
  <c r="AG40" i="73" s="1"/>
  <c r="AF41" i="73"/>
  <c r="AF42" i="73"/>
  <c r="AG42" i="73" s="1"/>
  <c r="AF43" i="73"/>
  <c r="AF44" i="73"/>
  <c r="AG44" i="73" s="1"/>
  <c r="AF45" i="73"/>
  <c r="AG45" i="73" s="1"/>
  <c r="AF46" i="73"/>
  <c r="AG46" i="73" s="1"/>
  <c r="AF50" i="73"/>
  <c r="AF51" i="73"/>
  <c r="AF52" i="73"/>
  <c r="AG52" i="73" s="1"/>
  <c r="AE51" i="73"/>
  <c r="AF9" i="73"/>
  <c r="BM10" i="40"/>
  <c r="BM11" i="40"/>
  <c r="BM12" i="40"/>
  <c r="BM14" i="40"/>
  <c r="BM15" i="40"/>
  <c r="BM16" i="40"/>
  <c r="BM17" i="40"/>
  <c r="BM18" i="40"/>
  <c r="BM19" i="40"/>
  <c r="BM20" i="40"/>
  <c r="BM23" i="40"/>
  <c r="BM24" i="40"/>
  <c r="BM25" i="40"/>
  <c r="BM26" i="40"/>
  <c r="BM27" i="40"/>
  <c r="BM31" i="40"/>
  <c r="BM32" i="40"/>
  <c r="BM33" i="40"/>
  <c r="BM34" i="40"/>
  <c r="BM35" i="40"/>
  <c r="BM36" i="40"/>
  <c r="BM37" i="40"/>
  <c r="BM40" i="40"/>
  <c r="BM41" i="40"/>
  <c r="BM42" i="40"/>
  <c r="BM43" i="40"/>
  <c r="BM44" i="40"/>
  <c r="BM45" i="40"/>
  <c r="BM46" i="40"/>
  <c r="BM50" i="40"/>
  <c r="BM51" i="40"/>
  <c r="BL10" i="40"/>
  <c r="BL11" i="40"/>
  <c r="BL12" i="40"/>
  <c r="BL14" i="40"/>
  <c r="BL15" i="40"/>
  <c r="BL16" i="40"/>
  <c r="BL17" i="40"/>
  <c r="BL18" i="40"/>
  <c r="BL19" i="40"/>
  <c r="BL20" i="40"/>
  <c r="BL23" i="40"/>
  <c r="BL24" i="40"/>
  <c r="BL25" i="40"/>
  <c r="BL26" i="40"/>
  <c r="BL27" i="40"/>
  <c r="BL31" i="40"/>
  <c r="BL32" i="40"/>
  <c r="BL33" i="40"/>
  <c r="BL34" i="40"/>
  <c r="BL35" i="40"/>
  <c r="BL36" i="40"/>
  <c r="BL37" i="40"/>
  <c r="BL40" i="40"/>
  <c r="BL41" i="40"/>
  <c r="BL42" i="40"/>
  <c r="BL43" i="40"/>
  <c r="BL44" i="40"/>
  <c r="BL45" i="40"/>
  <c r="BL46" i="40"/>
  <c r="BL50" i="40"/>
  <c r="BL51" i="40"/>
  <c r="BM9" i="40"/>
  <c r="BL9" i="40"/>
  <c r="AS10" i="34"/>
  <c r="L10" i="41" s="1"/>
  <c r="AS11" i="34"/>
  <c r="L11" i="41" s="1"/>
  <c r="L10" i="43" s="1"/>
  <c r="AS12" i="34"/>
  <c r="AS14" i="34"/>
  <c r="L14" i="41" s="1"/>
  <c r="AS15" i="34"/>
  <c r="L15" i="41" s="1"/>
  <c r="L14" i="43" s="1"/>
  <c r="AS16" i="34"/>
  <c r="AS17" i="34"/>
  <c r="L17" i="41" s="1"/>
  <c r="AS18" i="34"/>
  <c r="L18" i="41" s="1"/>
  <c r="AS19" i="34"/>
  <c r="L19" i="41" s="1"/>
  <c r="L18" i="43" s="1"/>
  <c r="AS20" i="34"/>
  <c r="L20" i="41" s="1"/>
  <c r="L19" i="43" s="1"/>
  <c r="AS23" i="34"/>
  <c r="L23" i="41" s="1"/>
  <c r="AS24" i="34"/>
  <c r="AS25" i="34"/>
  <c r="AS26" i="34"/>
  <c r="L26" i="41" s="1"/>
  <c r="AS27" i="34"/>
  <c r="L27" i="41" s="1"/>
  <c r="AS31" i="34"/>
  <c r="L31" i="41" s="1"/>
  <c r="AS32" i="34"/>
  <c r="AS33" i="34"/>
  <c r="L33" i="41" s="1"/>
  <c r="AS34" i="34"/>
  <c r="L34" i="41" s="1"/>
  <c r="AS35" i="34"/>
  <c r="L35" i="41" s="1"/>
  <c r="AS36" i="34"/>
  <c r="AS37" i="34"/>
  <c r="L37" i="41" s="1"/>
  <c r="AS40" i="34"/>
  <c r="AS41" i="34"/>
  <c r="AS42" i="34"/>
  <c r="L42" i="41" s="1"/>
  <c r="AS43" i="34"/>
  <c r="L43" i="41" s="1"/>
  <c r="AS44" i="34"/>
  <c r="AS45" i="34"/>
  <c r="AS46" i="34"/>
  <c r="L46" i="41" s="1"/>
  <c r="AS50" i="34"/>
  <c r="L50" i="41" s="1"/>
  <c r="AS51" i="34"/>
  <c r="L51" i="41" s="1"/>
  <c r="AQ10" i="34"/>
  <c r="AQ11" i="34"/>
  <c r="AQ12" i="34"/>
  <c r="AQ14" i="34"/>
  <c r="AQ15" i="34"/>
  <c r="AQ16" i="34"/>
  <c r="AQ17" i="34"/>
  <c r="AQ18" i="34"/>
  <c r="AQ19" i="34"/>
  <c r="AQ20" i="34"/>
  <c r="AQ23" i="34"/>
  <c r="AQ24" i="34"/>
  <c r="AQ25" i="34"/>
  <c r="AQ26" i="34"/>
  <c r="AQ27" i="34"/>
  <c r="AQ31" i="34"/>
  <c r="AQ32" i="34"/>
  <c r="AQ33" i="34"/>
  <c r="AQ34" i="34"/>
  <c r="AQ35" i="34"/>
  <c r="AQ36" i="34"/>
  <c r="AQ37" i="34"/>
  <c r="AQ40" i="34"/>
  <c r="AQ41" i="34"/>
  <c r="AQ42" i="34"/>
  <c r="AQ43" i="34"/>
  <c r="AQ44" i="34"/>
  <c r="AQ45" i="34"/>
  <c r="AQ46" i="34"/>
  <c r="AQ50" i="34"/>
  <c r="AQ51" i="34"/>
  <c r="AS9" i="34"/>
  <c r="AQ9" i="34"/>
  <c r="F48" i="37"/>
  <c r="G48" i="37"/>
  <c r="H48" i="37"/>
  <c r="I48" i="37"/>
  <c r="J48" i="37"/>
  <c r="K48" i="37"/>
  <c r="L48" i="37"/>
  <c r="M48" i="37"/>
  <c r="N48" i="37"/>
  <c r="O48" i="37"/>
  <c r="P48" i="37"/>
  <c r="Q48" i="37"/>
  <c r="R48" i="37"/>
  <c r="S48" i="37"/>
  <c r="T48" i="37"/>
  <c r="U48" i="37"/>
  <c r="V48" i="37"/>
  <c r="W48" i="37"/>
  <c r="X48" i="37"/>
  <c r="Y48" i="37"/>
  <c r="Z48" i="37"/>
  <c r="AA48" i="37"/>
  <c r="F47" i="37"/>
  <c r="G47" i="37"/>
  <c r="I47" i="37"/>
  <c r="J47" i="37"/>
  <c r="K47" i="37"/>
  <c r="L47" i="37"/>
  <c r="M47" i="37"/>
  <c r="N47" i="37"/>
  <c r="O47" i="37"/>
  <c r="P47" i="37"/>
  <c r="Q47" i="37"/>
  <c r="R47" i="37"/>
  <c r="S47" i="37"/>
  <c r="U47" i="37"/>
  <c r="V47" i="37"/>
  <c r="V49" i="37" s="1"/>
  <c r="W47" i="37"/>
  <c r="W49" i="37" s="1"/>
  <c r="X47" i="37"/>
  <c r="Y47" i="37"/>
  <c r="Z47" i="37"/>
  <c r="Z49" i="37" s="1"/>
  <c r="AA47" i="37"/>
  <c r="AA49" i="37" s="1"/>
  <c r="F39" i="37"/>
  <c r="G39" i="37"/>
  <c r="H39" i="37"/>
  <c r="I39" i="37"/>
  <c r="J39" i="37"/>
  <c r="K39" i="37"/>
  <c r="L39" i="37"/>
  <c r="M39" i="37"/>
  <c r="N39" i="37"/>
  <c r="O39" i="37"/>
  <c r="P39" i="37"/>
  <c r="Q39" i="37"/>
  <c r="R39" i="37"/>
  <c r="S39" i="37"/>
  <c r="T39" i="37"/>
  <c r="U39" i="37"/>
  <c r="V39" i="37"/>
  <c r="W39" i="37"/>
  <c r="X39" i="37"/>
  <c r="Y39" i="37"/>
  <c r="Z39" i="37"/>
  <c r="AA39" i="37"/>
  <c r="F38" i="37"/>
  <c r="G38" i="37"/>
  <c r="I38" i="37"/>
  <c r="J38" i="37"/>
  <c r="K38" i="37"/>
  <c r="L38" i="37"/>
  <c r="M38" i="37"/>
  <c r="N38" i="37"/>
  <c r="O38" i="37"/>
  <c r="P38" i="37"/>
  <c r="Q38" i="37"/>
  <c r="R38" i="37"/>
  <c r="S38" i="37"/>
  <c r="U38" i="37"/>
  <c r="V38" i="37"/>
  <c r="W38" i="37"/>
  <c r="X38" i="37"/>
  <c r="Y38" i="37"/>
  <c r="Z38" i="37"/>
  <c r="AA38" i="37"/>
  <c r="F29" i="37"/>
  <c r="I29" i="37"/>
  <c r="K29" i="37"/>
  <c r="L29" i="37"/>
  <c r="M29" i="37"/>
  <c r="N29" i="37"/>
  <c r="O29" i="37"/>
  <c r="P29" i="37"/>
  <c r="Q29" i="37"/>
  <c r="R29" i="37"/>
  <c r="S29" i="37"/>
  <c r="T29" i="37"/>
  <c r="U29" i="37"/>
  <c r="V29" i="37"/>
  <c r="W29" i="37"/>
  <c r="X29" i="37"/>
  <c r="Y29" i="37"/>
  <c r="Z29" i="37"/>
  <c r="AA29" i="37"/>
  <c r="F22" i="37"/>
  <c r="G22" i="37"/>
  <c r="H22" i="37"/>
  <c r="I22" i="37"/>
  <c r="J22" i="37"/>
  <c r="K22" i="37"/>
  <c r="L22" i="37"/>
  <c r="M22" i="37"/>
  <c r="N22" i="37"/>
  <c r="O22" i="37"/>
  <c r="P22" i="37"/>
  <c r="Q22" i="37"/>
  <c r="R22" i="37"/>
  <c r="S22" i="37"/>
  <c r="T22" i="37"/>
  <c r="U22" i="37"/>
  <c r="V22" i="37"/>
  <c r="W22" i="37"/>
  <c r="X22" i="37"/>
  <c r="Y22" i="37"/>
  <c r="Z22" i="37"/>
  <c r="AA22" i="37"/>
  <c r="F13" i="37"/>
  <c r="F28" i="37" s="1"/>
  <c r="G13" i="37"/>
  <c r="H13" i="37"/>
  <c r="I13" i="37"/>
  <c r="I28" i="37" s="1"/>
  <c r="J13" i="37"/>
  <c r="J28" i="37" s="1"/>
  <c r="K13" i="37"/>
  <c r="L13" i="37"/>
  <c r="L28" i="37" s="1"/>
  <c r="L30" i="37" s="1"/>
  <c r="M13" i="37"/>
  <c r="M28" i="37" s="1"/>
  <c r="N13" i="37"/>
  <c r="O13" i="37"/>
  <c r="O28" i="37" s="1"/>
  <c r="O30" i="37" s="1"/>
  <c r="P13" i="37"/>
  <c r="P28" i="37" s="1"/>
  <c r="P30" i="37" s="1"/>
  <c r="Q13" i="37"/>
  <c r="R13" i="37"/>
  <c r="R28" i="37" s="1"/>
  <c r="S13" i="37"/>
  <c r="S28" i="37" s="1"/>
  <c r="S30" i="37" s="1"/>
  <c r="T13" i="37"/>
  <c r="U13" i="37"/>
  <c r="U28" i="37" s="1"/>
  <c r="V13" i="37"/>
  <c r="V28" i="37" s="1"/>
  <c r="W13" i="37"/>
  <c r="W28" i="37" s="1"/>
  <c r="W30" i="37" s="1"/>
  <c r="X13" i="37"/>
  <c r="X21" i="37" s="1"/>
  <c r="Y13" i="37"/>
  <c r="Y28" i="37" s="1"/>
  <c r="Z13" i="37"/>
  <c r="Z28" i="37" s="1"/>
  <c r="AA13" i="37"/>
  <c r="AA28" i="37" s="1"/>
  <c r="AA30" i="37" s="1"/>
  <c r="AD10" i="37"/>
  <c r="AD11" i="37"/>
  <c r="AD12" i="37"/>
  <c r="AD14" i="37"/>
  <c r="AD15" i="37"/>
  <c r="AD16" i="37"/>
  <c r="AD17" i="37"/>
  <c r="AD18" i="37"/>
  <c r="AD19" i="37"/>
  <c r="AD20" i="37"/>
  <c r="AD23" i="37"/>
  <c r="AD24" i="37"/>
  <c r="AD25" i="37"/>
  <c r="AD26" i="37"/>
  <c r="AD27" i="37"/>
  <c r="AD31" i="37"/>
  <c r="AD32" i="37"/>
  <c r="AD33" i="37"/>
  <c r="AD34" i="37"/>
  <c r="AD35" i="37"/>
  <c r="AD36" i="37"/>
  <c r="AD37" i="37"/>
  <c r="AD40" i="37"/>
  <c r="AD41" i="37"/>
  <c r="AD42" i="37"/>
  <c r="AD43" i="37"/>
  <c r="AD44" i="37"/>
  <c r="AD45" i="37"/>
  <c r="AD46" i="37"/>
  <c r="AD50" i="37"/>
  <c r="AD51" i="37"/>
  <c r="AD9" i="37"/>
  <c r="F41" i="73"/>
  <c r="F48" i="73"/>
  <c r="G48" i="73"/>
  <c r="H48" i="73"/>
  <c r="I48" i="73"/>
  <c r="J48" i="73"/>
  <c r="K48" i="73"/>
  <c r="L48" i="73"/>
  <c r="M48" i="73"/>
  <c r="N48" i="73"/>
  <c r="O48" i="73"/>
  <c r="AF48" i="73" s="1"/>
  <c r="P48" i="73"/>
  <c r="Y48" i="73"/>
  <c r="Z48" i="73"/>
  <c r="AA48" i="73"/>
  <c r="G47" i="73"/>
  <c r="I47" i="73"/>
  <c r="I49" i="73" s="1"/>
  <c r="J47" i="73"/>
  <c r="L47" i="73"/>
  <c r="M47" i="73"/>
  <c r="N47" i="73"/>
  <c r="O47" i="73"/>
  <c r="AF47" i="73" s="1"/>
  <c r="P47" i="73"/>
  <c r="R47" i="73"/>
  <c r="R49" i="73" s="1"/>
  <c r="Y47" i="73"/>
  <c r="Z47" i="73"/>
  <c r="Z49" i="73" s="1"/>
  <c r="AA47" i="73"/>
  <c r="G39" i="73"/>
  <c r="H39" i="73"/>
  <c r="I39" i="73"/>
  <c r="J39" i="73"/>
  <c r="K39" i="73"/>
  <c r="L39" i="73"/>
  <c r="M39" i="73"/>
  <c r="N39" i="73"/>
  <c r="O39" i="73"/>
  <c r="AF39" i="73" s="1"/>
  <c r="P39" i="73"/>
  <c r="Y39" i="73"/>
  <c r="Z39" i="73"/>
  <c r="AA39" i="73"/>
  <c r="F38" i="73"/>
  <c r="G38" i="73"/>
  <c r="I38" i="73"/>
  <c r="J38" i="73"/>
  <c r="L38" i="73"/>
  <c r="M38" i="73"/>
  <c r="N38" i="73"/>
  <c r="O38" i="73"/>
  <c r="AF38" i="73" s="1"/>
  <c r="P38" i="73"/>
  <c r="R38" i="73"/>
  <c r="Y38" i="73"/>
  <c r="Z38" i="73"/>
  <c r="AA38" i="73"/>
  <c r="F29" i="73"/>
  <c r="H29" i="73"/>
  <c r="I29" i="73"/>
  <c r="K29" i="73"/>
  <c r="L29" i="73"/>
  <c r="N29" i="73"/>
  <c r="O29" i="73"/>
  <c r="AF29" i="73" s="1"/>
  <c r="P29" i="73"/>
  <c r="Q29" i="73"/>
  <c r="R29" i="73"/>
  <c r="Y29" i="73"/>
  <c r="Z29" i="73"/>
  <c r="AA29" i="73"/>
  <c r="F13" i="73"/>
  <c r="G13" i="73"/>
  <c r="H13" i="73"/>
  <c r="I13" i="73"/>
  <c r="I28" i="73" s="1"/>
  <c r="J13" i="73"/>
  <c r="K13" i="73"/>
  <c r="L13" i="73"/>
  <c r="L28" i="73" s="1"/>
  <c r="M13" i="73"/>
  <c r="M28" i="73" s="1"/>
  <c r="N13" i="73"/>
  <c r="N21" i="73" s="1"/>
  <c r="O13" i="73"/>
  <c r="P13" i="73"/>
  <c r="P28" i="73" s="1"/>
  <c r="Q13" i="73"/>
  <c r="Q21" i="73" s="1"/>
  <c r="R13" i="73"/>
  <c r="R21" i="73" s="1"/>
  <c r="Y13" i="73"/>
  <c r="Z13" i="73"/>
  <c r="Z28" i="73" s="1"/>
  <c r="AA13" i="73"/>
  <c r="AA28" i="73" s="1"/>
  <c r="AD51" i="73"/>
  <c r="F38" i="39"/>
  <c r="G38" i="39"/>
  <c r="H38" i="39"/>
  <c r="I38" i="39"/>
  <c r="J38" i="39"/>
  <c r="K38" i="39"/>
  <c r="L38" i="39"/>
  <c r="M38" i="39"/>
  <c r="N38" i="39"/>
  <c r="O38" i="39"/>
  <c r="P38" i="39"/>
  <c r="Q38" i="39"/>
  <c r="R38" i="39"/>
  <c r="S38" i="39"/>
  <c r="U38" i="39"/>
  <c r="V38" i="39"/>
  <c r="W38" i="39"/>
  <c r="X38" i="39"/>
  <c r="F48" i="39"/>
  <c r="G48" i="39"/>
  <c r="H48" i="39"/>
  <c r="I48" i="39"/>
  <c r="J48" i="39"/>
  <c r="K48" i="39"/>
  <c r="L48" i="39"/>
  <c r="M48" i="39"/>
  <c r="N48" i="39"/>
  <c r="O48" i="39"/>
  <c r="P48" i="39"/>
  <c r="Q48" i="39"/>
  <c r="R48" i="39"/>
  <c r="S48" i="39"/>
  <c r="T48" i="39"/>
  <c r="U48" i="39"/>
  <c r="V48" i="39"/>
  <c r="W48" i="39"/>
  <c r="X48" i="39"/>
  <c r="F47" i="39"/>
  <c r="G47" i="39"/>
  <c r="H47" i="39"/>
  <c r="I47" i="39"/>
  <c r="J47" i="39"/>
  <c r="K47" i="39"/>
  <c r="L47" i="39"/>
  <c r="M47" i="39"/>
  <c r="N47" i="39"/>
  <c r="O47" i="39"/>
  <c r="P47" i="39"/>
  <c r="Q47" i="39"/>
  <c r="R47" i="39"/>
  <c r="S47" i="39"/>
  <c r="U47" i="39"/>
  <c r="V47" i="39"/>
  <c r="W47" i="39"/>
  <c r="X47" i="39"/>
  <c r="F39" i="39"/>
  <c r="G39" i="39"/>
  <c r="H39" i="39"/>
  <c r="I39" i="39"/>
  <c r="J39" i="39"/>
  <c r="K39" i="39"/>
  <c r="L39" i="39"/>
  <c r="M39" i="39"/>
  <c r="N39" i="39"/>
  <c r="O39" i="39"/>
  <c r="P39" i="39"/>
  <c r="Q39" i="39"/>
  <c r="R39" i="39"/>
  <c r="S39" i="39"/>
  <c r="T39" i="39"/>
  <c r="U39" i="39"/>
  <c r="V39" i="39"/>
  <c r="W39" i="39"/>
  <c r="X39" i="39"/>
  <c r="F29" i="39"/>
  <c r="H29" i="39"/>
  <c r="I29" i="39"/>
  <c r="J29" i="39"/>
  <c r="K29" i="39"/>
  <c r="L29" i="39"/>
  <c r="N29" i="39"/>
  <c r="O29" i="39"/>
  <c r="P29" i="39"/>
  <c r="Q29" i="39"/>
  <c r="R29" i="39"/>
  <c r="T29" i="39"/>
  <c r="U29" i="39"/>
  <c r="V29" i="39"/>
  <c r="W29" i="39"/>
  <c r="X29" i="39"/>
  <c r="F22" i="39"/>
  <c r="G22" i="39"/>
  <c r="H22" i="39"/>
  <c r="I22" i="39"/>
  <c r="J22" i="39"/>
  <c r="K22" i="39"/>
  <c r="L22" i="39"/>
  <c r="M22" i="39"/>
  <c r="N22" i="39"/>
  <c r="O22" i="39"/>
  <c r="P22" i="39"/>
  <c r="Q22" i="39"/>
  <c r="R22" i="39"/>
  <c r="S22" i="39"/>
  <c r="T22" i="39"/>
  <c r="U22" i="39"/>
  <c r="V22" i="39"/>
  <c r="W22" i="39"/>
  <c r="X22" i="39"/>
  <c r="F13" i="39"/>
  <c r="F28" i="39" s="1"/>
  <c r="G13" i="39"/>
  <c r="H13" i="39"/>
  <c r="I13" i="39"/>
  <c r="J13" i="39"/>
  <c r="J28" i="39" s="1"/>
  <c r="K13" i="39"/>
  <c r="K28" i="39" s="1"/>
  <c r="K30" i="39" s="1"/>
  <c r="L13" i="39"/>
  <c r="L21" i="39" s="1"/>
  <c r="M13" i="39"/>
  <c r="N13" i="39"/>
  <c r="N28" i="39" s="1"/>
  <c r="O13" i="39"/>
  <c r="O21" i="39" s="1"/>
  <c r="P13" i="39"/>
  <c r="P21" i="39" s="1"/>
  <c r="Q13" i="39"/>
  <c r="R13" i="39"/>
  <c r="R28" i="39" s="1"/>
  <c r="S13" i="39"/>
  <c r="S28" i="39" s="1"/>
  <c r="T13" i="39"/>
  <c r="U13" i="39"/>
  <c r="V13" i="39"/>
  <c r="W13" i="39"/>
  <c r="X13" i="39"/>
  <c r="X21" i="39" s="1"/>
  <c r="AA10" i="39"/>
  <c r="AA11" i="39"/>
  <c r="AA12" i="39"/>
  <c r="AA14" i="39"/>
  <c r="AA15" i="39"/>
  <c r="AA16" i="39"/>
  <c r="AA17" i="39"/>
  <c r="AA18" i="39"/>
  <c r="AA19" i="39"/>
  <c r="AA20" i="39"/>
  <c r="AA23" i="39"/>
  <c r="AA24" i="39"/>
  <c r="AA25" i="39"/>
  <c r="AA26" i="39"/>
  <c r="AA27" i="39"/>
  <c r="AA31" i="39"/>
  <c r="AA32" i="39"/>
  <c r="AA33" i="39"/>
  <c r="AA34" i="39"/>
  <c r="AA35" i="39"/>
  <c r="AA36" i="39"/>
  <c r="AA37" i="39"/>
  <c r="AA40" i="39"/>
  <c r="AA41" i="39"/>
  <c r="AA42" i="39"/>
  <c r="AA43" i="39"/>
  <c r="AA44" i="39"/>
  <c r="AA45" i="39"/>
  <c r="AA46" i="39"/>
  <c r="AA50" i="39"/>
  <c r="AA51" i="39"/>
  <c r="AA9" i="39"/>
  <c r="F48" i="34"/>
  <c r="G48" i="34"/>
  <c r="I48" i="34"/>
  <c r="J48" i="34"/>
  <c r="K48" i="34"/>
  <c r="L48" i="34"/>
  <c r="M48" i="34"/>
  <c r="N48" i="34"/>
  <c r="O48" i="34"/>
  <c r="P48" i="34"/>
  <c r="Q48" i="34"/>
  <c r="R48" i="34"/>
  <c r="S48" i="34"/>
  <c r="T48" i="34"/>
  <c r="U48" i="34"/>
  <c r="V48" i="34"/>
  <c r="W48" i="34"/>
  <c r="X48" i="34"/>
  <c r="Y48" i="34"/>
  <c r="Z48" i="34"/>
  <c r="AA48" i="34"/>
  <c r="AB48" i="34"/>
  <c r="AC48" i="34"/>
  <c r="AD48" i="34"/>
  <c r="AE48" i="34"/>
  <c r="AF48" i="34"/>
  <c r="AG48" i="34"/>
  <c r="AH48" i="34"/>
  <c r="AI48" i="34"/>
  <c r="AJ48" i="34"/>
  <c r="AK48" i="34"/>
  <c r="AL48" i="34"/>
  <c r="AM48" i="34"/>
  <c r="F47" i="34"/>
  <c r="G47" i="34"/>
  <c r="I47" i="34"/>
  <c r="J47" i="34"/>
  <c r="K47" i="34"/>
  <c r="L47" i="34"/>
  <c r="M47" i="34"/>
  <c r="N47" i="34"/>
  <c r="O47" i="34"/>
  <c r="P47" i="34"/>
  <c r="Q47" i="34"/>
  <c r="R47" i="34"/>
  <c r="S47" i="34"/>
  <c r="T47" i="34"/>
  <c r="U47" i="34"/>
  <c r="V47" i="34"/>
  <c r="W47" i="34"/>
  <c r="X47" i="34"/>
  <c r="Y47" i="34"/>
  <c r="Z47" i="34"/>
  <c r="AA47" i="34"/>
  <c r="AB47" i="34"/>
  <c r="AC47" i="34"/>
  <c r="AD47" i="34"/>
  <c r="AE47" i="34"/>
  <c r="AG47" i="34"/>
  <c r="AG49" i="34" s="1"/>
  <c r="AH47" i="34"/>
  <c r="AI47" i="34"/>
  <c r="AI49" i="34" s="1"/>
  <c r="AJ47" i="34"/>
  <c r="AJ49" i="34" s="1"/>
  <c r="AK47" i="34"/>
  <c r="AK49" i="34" s="1"/>
  <c r="AL47" i="34"/>
  <c r="AM47" i="34"/>
  <c r="AM49" i="34" s="1"/>
  <c r="G39" i="34"/>
  <c r="H39" i="34"/>
  <c r="I39" i="34"/>
  <c r="J39" i="34"/>
  <c r="K39" i="34"/>
  <c r="L39" i="34"/>
  <c r="M39" i="34"/>
  <c r="N39" i="34"/>
  <c r="O39" i="34"/>
  <c r="P39" i="34"/>
  <c r="Q39" i="34"/>
  <c r="R39" i="34"/>
  <c r="S39" i="34"/>
  <c r="T39" i="34"/>
  <c r="U39" i="34"/>
  <c r="V39" i="34"/>
  <c r="W39" i="34"/>
  <c r="X39" i="34"/>
  <c r="Y39" i="34"/>
  <c r="Z39" i="34"/>
  <c r="AA39" i="34"/>
  <c r="AB39" i="34"/>
  <c r="AC39" i="34"/>
  <c r="AD39" i="34"/>
  <c r="AE39" i="34"/>
  <c r="AF39" i="34"/>
  <c r="AG39" i="34"/>
  <c r="AH39" i="34"/>
  <c r="AI39" i="34"/>
  <c r="AJ39" i="34"/>
  <c r="AK39" i="34"/>
  <c r="AL39" i="34"/>
  <c r="AM39" i="34"/>
  <c r="F38" i="34"/>
  <c r="G38" i="34"/>
  <c r="I38" i="34"/>
  <c r="J38" i="34"/>
  <c r="K38" i="34"/>
  <c r="L38" i="34"/>
  <c r="M38" i="34"/>
  <c r="N38" i="34"/>
  <c r="P38" i="34"/>
  <c r="Q38" i="34"/>
  <c r="R38" i="34"/>
  <c r="S38" i="34"/>
  <c r="T38" i="34"/>
  <c r="U38" i="34"/>
  <c r="V38" i="34"/>
  <c r="W38" i="34"/>
  <c r="X38" i="34"/>
  <c r="Y38" i="34"/>
  <c r="Z38" i="34"/>
  <c r="AA38" i="34"/>
  <c r="AB38" i="34"/>
  <c r="AC38" i="34"/>
  <c r="AE38" i="34"/>
  <c r="AG38" i="34"/>
  <c r="AH38" i="34"/>
  <c r="AI38" i="34"/>
  <c r="AJ38" i="34"/>
  <c r="AK38" i="34"/>
  <c r="AL38" i="34"/>
  <c r="AM38" i="34"/>
  <c r="F29" i="34"/>
  <c r="I29" i="34"/>
  <c r="L29" i="34"/>
  <c r="O29" i="34"/>
  <c r="R29" i="34"/>
  <c r="U29" i="34"/>
  <c r="X29" i="34"/>
  <c r="AA29" i="34"/>
  <c r="AD29" i="34"/>
  <c r="AG29" i="34"/>
  <c r="AJ29" i="34"/>
  <c r="AM29" i="34"/>
  <c r="F22" i="34"/>
  <c r="G22" i="34"/>
  <c r="H22" i="34"/>
  <c r="I22" i="34"/>
  <c r="J22" i="34"/>
  <c r="K22" i="34"/>
  <c r="L22" i="34"/>
  <c r="M22" i="34"/>
  <c r="N22" i="34"/>
  <c r="O22" i="34"/>
  <c r="P22" i="34"/>
  <c r="Q22" i="34"/>
  <c r="R22" i="34"/>
  <c r="S22" i="34"/>
  <c r="T22" i="34"/>
  <c r="U22" i="34"/>
  <c r="V22" i="34"/>
  <c r="W22" i="34"/>
  <c r="X22" i="34"/>
  <c r="Y22" i="34"/>
  <c r="Z22" i="34"/>
  <c r="AA22" i="34"/>
  <c r="AB22" i="34"/>
  <c r="AC22" i="34"/>
  <c r="AD22" i="34"/>
  <c r="AE22" i="34"/>
  <c r="AF22" i="34"/>
  <c r="AG22" i="34"/>
  <c r="AH22" i="34"/>
  <c r="AI22" i="34"/>
  <c r="AJ22" i="34"/>
  <c r="AK22" i="34"/>
  <c r="AL22" i="34"/>
  <c r="AM22" i="34"/>
  <c r="F13" i="34"/>
  <c r="F28" i="34" s="1"/>
  <c r="G13" i="34"/>
  <c r="H13" i="34"/>
  <c r="I13" i="34"/>
  <c r="I21" i="34" s="1"/>
  <c r="J13" i="34"/>
  <c r="K13" i="34"/>
  <c r="L13" i="34"/>
  <c r="L28" i="34" s="1"/>
  <c r="M13" i="34"/>
  <c r="N13" i="34"/>
  <c r="O13" i="34"/>
  <c r="O28" i="34" s="1"/>
  <c r="P13" i="34"/>
  <c r="Q13" i="34"/>
  <c r="R13" i="34"/>
  <c r="R21" i="34" s="1"/>
  <c r="S13" i="34"/>
  <c r="S28" i="34" s="1"/>
  <c r="T13" i="34"/>
  <c r="U13" i="34"/>
  <c r="U21" i="34" s="1"/>
  <c r="V13" i="34"/>
  <c r="W13" i="34"/>
  <c r="X13" i="34"/>
  <c r="X21" i="34" s="1"/>
  <c r="Y13" i="34"/>
  <c r="Z13" i="34"/>
  <c r="Z28" i="34" s="1"/>
  <c r="AA13" i="34"/>
  <c r="AA28" i="34" s="1"/>
  <c r="AA30" i="34" s="1"/>
  <c r="AB13" i="34"/>
  <c r="AC13" i="34"/>
  <c r="AD13" i="34"/>
  <c r="AD21" i="34" s="1"/>
  <c r="AE13" i="34"/>
  <c r="AE28" i="34" s="1"/>
  <c r="AF13" i="34"/>
  <c r="AG13" i="34"/>
  <c r="AG21" i="34" s="1"/>
  <c r="AH13" i="34"/>
  <c r="AH28" i="34" s="1"/>
  <c r="AI13" i="34"/>
  <c r="AJ13" i="34"/>
  <c r="AJ21" i="34" s="1"/>
  <c r="AK13" i="34"/>
  <c r="AL13" i="34"/>
  <c r="AM13" i="34"/>
  <c r="AM28" i="34" s="1"/>
  <c r="AM30" i="34" s="1"/>
  <c r="AP10" i="34"/>
  <c r="AP11" i="34"/>
  <c r="AP12" i="34"/>
  <c r="AP14" i="34"/>
  <c r="AP15" i="34"/>
  <c r="AP16" i="34"/>
  <c r="AP17" i="34"/>
  <c r="AP18" i="34"/>
  <c r="AP19" i="34"/>
  <c r="AP20" i="34"/>
  <c r="AP23" i="34"/>
  <c r="AP24" i="34"/>
  <c r="AP25" i="34"/>
  <c r="AP26" i="34"/>
  <c r="AP27" i="34"/>
  <c r="AP31" i="34"/>
  <c r="AP32" i="34"/>
  <c r="AP33" i="34"/>
  <c r="AP34" i="34"/>
  <c r="AP35" i="34"/>
  <c r="AP36" i="34"/>
  <c r="AP37" i="34"/>
  <c r="AP40" i="34"/>
  <c r="AP41" i="34"/>
  <c r="AP42" i="34"/>
  <c r="AP43" i="34"/>
  <c r="AP44" i="34"/>
  <c r="AP45" i="34"/>
  <c r="AP46" i="34"/>
  <c r="AP50" i="34"/>
  <c r="AP51" i="34"/>
  <c r="F29" i="38"/>
  <c r="I29" i="38"/>
  <c r="L29" i="38"/>
  <c r="N29" i="38"/>
  <c r="O29" i="38"/>
  <c r="P29" i="38"/>
  <c r="Q29" i="38"/>
  <c r="R29" i="38"/>
  <c r="S29" i="38"/>
  <c r="T29" i="38"/>
  <c r="U29" i="38"/>
  <c r="F22" i="38"/>
  <c r="G22" i="38"/>
  <c r="H22" i="38"/>
  <c r="I22" i="38"/>
  <c r="J22" i="38"/>
  <c r="K22" i="38"/>
  <c r="L22" i="38"/>
  <c r="M22" i="38"/>
  <c r="N22" i="38"/>
  <c r="O22" i="38"/>
  <c r="P22" i="38"/>
  <c r="Q22" i="38"/>
  <c r="R22" i="38"/>
  <c r="S22" i="38"/>
  <c r="T22" i="38"/>
  <c r="U22" i="38"/>
  <c r="F13" i="38"/>
  <c r="F21" i="38" s="1"/>
  <c r="G13" i="38"/>
  <c r="H13" i="38"/>
  <c r="I13" i="38"/>
  <c r="I28" i="38" s="1"/>
  <c r="J13" i="38"/>
  <c r="K13" i="38"/>
  <c r="L13" i="38"/>
  <c r="L21" i="38" s="1"/>
  <c r="M13" i="38"/>
  <c r="M28" i="38" s="1"/>
  <c r="N13" i="38"/>
  <c r="N28" i="38" s="1"/>
  <c r="O13" i="38"/>
  <c r="O21" i="38" s="1"/>
  <c r="P13" i="38"/>
  <c r="P28" i="38" s="1"/>
  <c r="P30" i="38" s="1"/>
  <c r="Q13" i="38"/>
  <c r="Q28" i="38" s="1"/>
  <c r="R13" i="38"/>
  <c r="R28" i="38" s="1"/>
  <c r="S13" i="38"/>
  <c r="S28" i="38" s="1"/>
  <c r="S30" i="38" s="1"/>
  <c r="T13" i="38"/>
  <c r="U13" i="38"/>
  <c r="U28" i="38" s="1"/>
  <c r="X41" i="38"/>
  <c r="X42" i="38"/>
  <c r="X43" i="38"/>
  <c r="X44" i="38"/>
  <c r="X45" i="38"/>
  <c r="X46" i="38"/>
  <c r="X40" i="38"/>
  <c r="X32" i="38"/>
  <c r="X33" i="38"/>
  <c r="X34" i="38"/>
  <c r="X35" i="38"/>
  <c r="X36" i="38"/>
  <c r="X37" i="38"/>
  <c r="X31" i="38"/>
  <c r="X10" i="38"/>
  <c r="X11" i="38"/>
  <c r="X12" i="38"/>
  <c r="X14" i="38"/>
  <c r="X15" i="38"/>
  <c r="X16" i="38"/>
  <c r="X17" i="38"/>
  <c r="X18" i="38"/>
  <c r="X19" i="38"/>
  <c r="X20" i="38"/>
  <c r="X23" i="38"/>
  <c r="X24" i="38"/>
  <c r="X25" i="38"/>
  <c r="X26" i="38"/>
  <c r="X27" i="38"/>
  <c r="X9" i="38"/>
  <c r="F48" i="38"/>
  <c r="G48" i="38"/>
  <c r="H48" i="38"/>
  <c r="I48" i="38"/>
  <c r="J48" i="38"/>
  <c r="K48" i="38"/>
  <c r="L48" i="38"/>
  <c r="M48" i="38"/>
  <c r="N48" i="38"/>
  <c r="O48" i="38"/>
  <c r="P48" i="38"/>
  <c r="Q48" i="38"/>
  <c r="R48" i="38"/>
  <c r="S48" i="38"/>
  <c r="T48" i="38"/>
  <c r="U48" i="38"/>
  <c r="F47" i="38"/>
  <c r="F49" i="38" s="1"/>
  <c r="G47" i="38"/>
  <c r="G49" i="38" s="1"/>
  <c r="I47" i="38"/>
  <c r="J47" i="38"/>
  <c r="K47" i="38"/>
  <c r="L47" i="38"/>
  <c r="M47" i="38"/>
  <c r="N47" i="38"/>
  <c r="O47" i="38"/>
  <c r="P47" i="38"/>
  <c r="R47" i="38"/>
  <c r="S47" i="38"/>
  <c r="T47" i="38"/>
  <c r="U47" i="38"/>
  <c r="F39" i="38"/>
  <c r="G39" i="38"/>
  <c r="H39" i="38"/>
  <c r="I39" i="38"/>
  <c r="J39" i="38"/>
  <c r="K39" i="38"/>
  <c r="L39" i="38"/>
  <c r="M39" i="38"/>
  <c r="N39" i="38"/>
  <c r="O39" i="38"/>
  <c r="P39" i="38"/>
  <c r="Q39" i="38"/>
  <c r="R39" i="38"/>
  <c r="S39" i="38"/>
  <c r="T39" i="38"/>
  <c r="U39" i="38"/>
  <c r="F38" i="38"/>
  <c r="G38" i="38"/>
  <c r="I38" i="38"/>
  <c r="J38" i="38"/>
  <c r="K38" i="38"/>
  <c r="L38" i="38"/>
  <c r="M38" i="38"/>
  <c r="N38" i="38"/>
  <c r="O38" i="38"/>
  <c r="P38" i="38"/>
  <c r="R38" i="38"/>
  <c r="S38" i="38"/>
  <c r="T38" i="38"/>
  <c r="U38" i="38"/>
  <c r="G49" i="37" l="1"/>
  <c r="I18" i="41"/>
  <c r="I17" i="43" s="1"/>
  <c r="I14" i="41"/>
  <c r="DS62" i="105"/>
  <c r="S49" i="38"/>
  <c r="N49" i="38"/>
  <c r="J49" i="38"/>
  <c r="I26" i="41"/>
  <c r="I25" i="43" s="1"/>
  <c r="MZ47" i="23"/>
  <c r="CI20" i="105"/>
  <c r="CI58" i="105" s="1"/>
  <c r="CI62" i="105"/>
  <c r="AX20" i="105"/>
  <c r="AX58" i="105" s="1"/>
  <c r="AX62" i="105"/>
  <c r="EB47" i="105"/>
  <c r="MZ21" i="23"/>
  <c r="EC46" i="105"/>
  <c r="R49" i="38"/>
  <c r="AE13" i="73"/>
  <c r="AD13" i="73"/>
  <c r="I37" i="41"/>
  <c r="I36" i="43" s="1"/>
  <c r="I33" i="41"/>
  <c r="I20" i="41"/>
  <c r="I16" i="41"/>
  <c r="I15" i="43" s="1"/>
  <c r="H39" i="41"/>
  <c r="K22" i="41"/>
  <c r="K39" i="41"/>
  <c r="AE29" i="73"/>
  <c r="AD48" i="73"/>
  <c r="AG48" i="73" s="1"/>
  <c r="AE48" i="73"/>
  <c r="I10" i="41"/>
  <c r="I9" i="43" s="1"/>
  <c r="I51" i="41"/>
  <c r="MZ12" i="23"/>
  <c r="DE20" i="105"/>
  <c r="DE58" i="105" s="1"/>
  <c r="DE62" i="105"/>
  <c r="DA20" i="105"/>
  <c r="DA58" i="105" s="1"/>
  <c r="DA62" i="105"/>
  <c r="AR62" i="105"/>
  <c r="EC38" i="105"/>
  <c r="K13" i="41"/>
  <c r="K48" i="41"/>
  <c r="AE38" i="73"/>
  <c r="AE41" i="73"/>
  <c r="AD41" i="73"/>
  <c r="AG41" i="73" s="1"/>
  <c r="MZ18" i="23"/>
  <c r="EC21" i="105"/>
  <c r="EC37" i="105"/>
  <c r="EB38" i="105"/>
  <c r="EC47" i="105"/>
  <c r="AD29" i="73"/>
  <c r="AD38" i="73"/>
  <c r="DV26" i="105"/>
  <c r="I19" i="43"/>
  <c r="EC12" i="105"/>
  <c r="EC27" i="105"/>
  <c r="EC18" i="105"/>
  <c r="I13" i="43"/>
  <c r="MZ27" i="23"/>
  <c r="MZ37" i="23"/>
  <c r="MZ46" i="23"/>
  <c r="DI59" i="23"/>
  <c r="DV36" i="105"/>
  <c r="DV25" i="105"/>
  <c r="F30" i="39"/>
  <c r="O49" i="38"/>
  <c r="K49" i="38"/>
  <c r="Q49" i="37"/>
  <c r="M49" i="37"/>
  <c r="I36" i="41"/>
  <c r="I35" i="43" s="1"/>
  <c r="I32" i="41"/>
  <c r="I31" i="43" s="1"/>
  <c r="I25" i="41"/>
  <c r="I24" i="43" s="1"/>
  <c r="P12" i="43"/>
  <c r="DW62" i="105"/>
  <c r="P21" i="43"/>
  <c r="R18" i="43"/>
  <c r="R27" i="43"/>
  <c r="R37" i="43"/>
  <c r="R38" i="43"/>
  <c r="R46" i="43"/>
  <c r="GE48" i="23"/>
  <c r="GA48" i="23"/>
  <c r="FW48" i="23"/>
  <c r="FS48" i="23"/>
  <c r="FO48" i="23"/>
  <c r="FK48" i="23"/>
  <c r="R47" i="43"/>
  <c r="DG48" i="105"/>
  <c r="V49" i="34"/>
  <c r="R49" i="34"/>
  <c r="N49" i="34"/>
  <c r="J49" i="34"/>
  <c r="AG51" i="73"/>
  <c r="R12" i="43"/>
  <c r="DY62" i="105"/>
  <c r="LG59" i="23"/>
  <c r="Q18" i="43"/>
  <c r="R21" i="43"/>
  <c r="P27" i="43"/>
  <c r="Q37" i="43"/>
  <c r="Q38" i="43"/>
  <c r="Q46" i="43"/>
  <c r="CM48" i="23"/>
  <c r="CI48" i="23"/>
  <c r="CE48" i="23"/>
  <c r="BW48" i="23"/>
  <c r="BS48" i="23"/>
  <c r="BO48" i="23"/>
  <c r="BG48" i="23"/>
  <c r="BC48" i="23"/>
  <c r="AY48" i="23"/>
  <c r="AQ48" i="23"/>
  <c r="AD48" i="23"/>
  <c r="Z48" i="23"/>
  <c r="V48" i="23"/>
  <c r="R48" i="23"/>
  <c r="J48" i="23"/>
  <c r="Q47" i="43"/>
  <c r="AB48" i="105"/>
  <c r="AB49" i="34"/>
  <c r="T49" i="34"/>
  <c r="P49" i="34"/>
  <c r="G49" i="34"/>
  <c r="DX62" i="105"/>
  <c r="Q12" i="43"/>
  <c r="LF59" i="23"/>
  <c r="P18" i="43"/>
  <c r="Q21" i="43"/>
  <c r="P37" i="43"/>
  <c r="P38" i="43"/>
  <c r="DP38" i="105"/>
  <c r="LF48" i="23"/>
  <c r="P46" i="43"/>
  <c r="EU48" i="23"/>
  <c r="DK48" i="23"/>
  <c r="DC48" i="23"/>
  <c r="CY48" i="23"/>
  <c r="CU48" i="23"/>
  <c r="AH48" i="23"/>
  <c r="P47" i="43"/>
  <c r="FL48" i="23"/>
  <c r="O28" i="39"/>
  <c r="O30" i="39" s="1"/>
  <c r="F47" i="73"/>
  <c r="AE47" i="73" s="1"/>
  <c r="I45" i="41"/>
  <c r="I44" i="43" s="1"/>
  <c r="I41" i="41"/>
  <c r="I40" i="43" s="1"/>
  <c r="I24" i="41"/>
  <c r="I23" i="43" s="1"/>
  <c r="NA21" i="23"/>
  <c r="GB48" i="23"/>
  <c r="FT48" i="23"/>
  <c r="L28" i="38"/>
  <c r="L30" i="38" s="1"/>
  <c r="P28" i="39"/>
  <c r="P30" i="39" s="1"/>
  <c r="M49" i="38"/>
  <c r="R30" i="38"/>
  <c r="N30" i="38"/>
  <c r="AA39" i="39"/>
  <c r="R30" i="39"/>
  <c r="N30" i="39"/>
  <c r="J30" i="39"/>
  <c r="L28" i="39"/>
  <c r="F21" i="73"/>
  <c r="M49" i="73"/>
  <c r="I34" i="41"/>
  <c r="I33" i="43" s="1"/>
  <c r="I17" i="41"/>
  <c r="I16" i="43" s="1"/>
  <c r="DV45" i="105"/>
  <c r="DV41" i="105"/>
  <c r="KB20" i="23"/>
  <c r="KB57" i="23" s="1"/>
  <c r="JX20" i="23"/>
  <c r="JX57" i="23" s="1"/>
  <c r="ER48" i="23"/>
  <c r="EN48" i="23"/>
  <c r="CR48" i="23"/>
  <c r="CN48" i="23"/>
  <c r="CJ48" i="23"/>
  <c r="CF48" i="23"/>
  <c r="CB48" i="23"/>
  <c r="BX48" i="23"/>
  <c r="BT48" i="23"/>
  <c r="BP48" i="23"/>
  <c r="BL48" i="23"/>
  <c r="BH48" i="23"/>
  <c r="BD48" i="23"/>
  <c r="AZ48" i="23"/>
  <c r="AV48" i="23"/>
  <c r="AR48" i="23"/>
  <c r="AE48" i="23"/>
  <c r="AA48" i="23"/>
  <c r="W48" i="23"/>
  <c r="O48" i="23"/>
  <c r="K48" i="23"/>
  <c r="G48" i="23"/>
  <c r="AY29" i="105"/>
  <c r="AU29" i="105"/>
  <c r="U30" i="38"/>
  <c r="Q30" i="38"/>
  <c r="AQ38" i="34"/>
  <c r="AC49" i="34"/>
  <c r="Y49" i="34"/>
  <c r="U49" i="34"/>
  <c r="Q49" i="34"/>
  <c r="M49" i="34"/>
  <c r="I49" i="34"/>
  <c r="K21" i="39"/>
  <c r="X28" i="39"/>
  <c r="X30" i="39" s="1"/>
  <c r="W49" i="39"/>
  <c r="L21" i="73"/>
  <c r="DV34" i="105"/>
  <c r="NA12" i="23"/>
  <c r="NA38" i="23"/>
  <c r="GJ48" i="23"/>
  <c r="EV48" i="23"/>
  <c r="DH48" i="23"/>
  <c r="DD48" i="23"/>
  <c r="CZ48" i="23"/>
  <c r="CV48" i="23"/>
  <c r="N48" i="23"/>
  <c r="GG48" i="23"/>
  <c r="EO48" i="23"/>
  <c r="CS48" i="23"/>
  <c r="CO48" i="23"/>
  <c r="CK48" i="23"/>
  <c r="CG48" i="23"/>
  <c r="CC48" i="23"/>
  <c r="BY48" i="23"/>
  <c r="BU48" i="23"/>
  <c r="BQ48" i="23"/>
  <c r="BM48" i="23"/>
  <c r="BI48" i="23"/>
  <c r="BE48" i="23"/>
  <c r="BA48" i="23"/>
  <c r="AW48" i="23"/>
  <c r="AS48" i="23"/>
  <c r="DV11" i="105"/>
  <c r="BG28" i="105"/>
  <c r="DV43" i="105"/>
  <c r="CC20" i="105"/>
  <c r="CC58" i="105" s="1"/>
  <c r="BL20" i="105"/>
  <c r="BL58" i="105" s="1"/>
  <c r="BD20" i="105"/>
  <c r="BD58" i="105" s="1"/>
  <c r="BS20" i="105"/>
  <c r="BS58" i="105" s="1"/>
  <c r="CO20" i="105"/>
  <c r="CO58" i="105" s="1"/>
  <c r="AO20" i="105"/>
  <c r="AO58" i="105" s="1"/>
  <c r="Y20" i="105"/>
  <c r="Y58" i="105" s="1"/>
  <c r="BH20" i="105"/>
  <c r="BH58" i="105" s="1"/>
  <c r="DE29" i="105"/>
  <c r="CH29" i="105"/>
  <c r="BH48" i="105"/>
  <c r="BI29" i="105"/>
  <c r="Q20" i="105"/>
  <c r="Q58" i="105" s="1"/>
  <c r="DI20" i="105"/>
  <c r="DI58" i="105" s="1"/>
  <c r="DH29" i="105"/>
  <c r="BK48" i="105"/>
  <c r="AU48" i="105"/>
  <c r="AE48" i="105"/>
  <c r="O48" i="105"/>
  <c r="DV42" i="105"/>
  <c r="CN29" i="105"/>
  <c r="AJ29" i="105"/>
  <c r="AF29" i="105"/>
  <c r="BA20" i="105"/>
  <c r="BA58" i="105" s="1"/>
  <c r="CY48" i="105"/>
  <c r="CR48" i="105"/>
  <c r="CN48" i="105"/>
  <c r="CJ48" i="105"/>
  <c r="CF48" i="105"/>
  <c r="CB48" i="105"/>
  <c r="BX48" i="105"/>
  <c r="BT48" i="105"/>
  <c r="BP48" i="105"/>
  <c r="BL48" i="105"/>
  <c r="BD48" i="105"/>
  <c r="AZ48" i="105"/>
  <c r="AV48" i="105"/>
  <c r="AR48" i="105"/>
  <c r="AN48" i="105"/>
  <c r="AJ48" i="105"/>
  <c r="AF48" i="105"/>
  <c r="X48" i="105"/>
  <c r="T48" i="105"/>
  <c r="P48" i="105"/>
  <c r="L48" i="105"/>
  <c r="H48" i="105"/>
  <c r="CT48" i="105"/>
  <c r="CH48" i="105"/>
  <c r="DV35" i="105"/>
  <c r="CH20" i="105"/>
  <c r="CH58" i="105" s="1"/>
  <c r="BZ20" i="105"/>
  <c r="BZ58" i="105" s="1"/>
  <c r="BV20" i="105"/>
  <c r="BV58" i="105" s="1"/>
  <c r="BQ20" i="105"/>
  <c r="BQ58" i="105" s="1"/>
  <c r="BI20" i="105"/>
  <c r="BI58" i="105" s="1"/>
  <c r="DJ20" i="105"/>
  <c r="DJ58" i="105" s="1"/>
  <c r="CQ20" i="105"/>
  <c r="CQ58" i="105" s="1"/>
  <c r="BN29" i="105"/>
  <c r="BZ29" i="105"/>
  <c r="BV29" i="105"/>
  <c r="BD29" i="105"/>
  <c r="AP29" i="105"/>
  <c r="AA29" i="105"/>
  <c r="DJ28" i="105"/>
  <c r="DJ29" i="105" s="1"/>
  <c r="CQ28" i="105"/>
  <c r="CQ29" i="105" s="1"/>
  <c r="Q28" i="105"/>
  <c r="O30" i="34"/>
  <c r="AT17" i="34"/>
  <c r="AA49" i="73"/>
  <c r="AA30" i="73"/>
  <c r="P49" i="73"/>
  <c r="Z30" i="73"/>
  <c r="P30" i="73"/>
  <c r="N28" i="73"/>
  <c r="N30" i="73" s="1"/>
  <c r="N49" i="73"/>
  <c r="G49" i="73"/>
  <c r="O28" i="38"/>
  <c r="O30" i="38" s="1"/>
  <c r="O21" i="34"/>
  <c r="AL49" i="34"/>
  <c r="AA21" i="73"/>
  <c r="Q28" i="73"/>
  <c r="Q30" i="73" s="1"/>
  <c r="T28" i="37"/>
  <c r="T30" i="37" s="1"/>
  <c r="T21" i="37"/>
  <c r="I49" i="38"/>
  <c r="R21" i="39"/>
  <c r="R49" i="39"/>
  <c r="J49" i="39"/>
  <c r="AG33" i="73"/>
  <c r="AG22" i="73"/>
  <c r="AG12" i="73"/>
  <c r="L30" i="73"/>
  <c r="I21" i="73"/>
  <c r="Y49" i="37"/>
  <c r="K29" i="105"/>
  <c r="U49" i="38"/>
  <c r="P49" i="38"/>
  <c r="L49" i="38"/>
  <c r="S21" i="38"/>
  <c r="AM21" i="34"/>
  <c r="AQ22" i="34"/>
  <c r="AD28" i="34"/>
  <c r="AD30" i="34" s="1"/>
  <c r="R28" i="34"/>
  <c r="R30" i="34" s="1"/>
  <c r="AE49" i="34"/>
  <c r="AA49" i="34"/>
  <c r="W49" i="34"/>
  <c r="S49" i="34"/>
  <c r="O49" i="34"/>
  <c r="K49" i="34"/>
  <c r="V49" i="39"/>
  <c r="Q49" i="39"/>
  <c r="M49" i="39"/>
  <c r="I49" i="39"/>
  <c r="X49" i="39"/>
  <c r="P49" i="39"/>
  <c r="L49" i="39"/>
  <c r="H49" i="39"/>
  <c r="AG36" i="73"/>
  <c r="AG32" i="73"/>
  <c r="AG25" i="73"/>
  <c r="AG20" i="73"/>
  <c r="AG16" i="73"/>
  <c r="AD22" i="37"/>
  <c r="Z30" i="37"/>
  <c r="V30" i="37"/>
  <c r="R30" i="37"/>
  <c r="I46" i="41"/>
  <c r="I45" i="43" s="1"/>
  <c r="I42" i="41"/>
  <c r="I41" i="43" s="1"/>
  <c r="AG11" i="73"/>
  <c r="DI29" i="105"/>
  <c r="AO29" i="105"/>
  <c r="AH49" i="34"/>
  <c r="AD48" i="37"/>
  <c r="AT25" i="34"/>
  <c r="L25" i="41"/>
  <c r="L24" i="43" s="1"/>
  <c r="X22" i="38"/>
  <c r="AA22" i="39"/>
  <c r="J21" i="39"/>
  <c r="N49" i="39"/>
  <c r="F49" i="39"/>
  <c r="AG50" i="73"/>
  <c r="AG37" i="73"/>
  <c r="AG26" i="73"/>
  <c r="Z21" i="73"/>
  <c r="AD13" i="37"/>
  <c r="X28" i="37"/>
  <c r="X30" i="37" s="1"/>
  <c r="U49" i="37"/>
  <c r="AT42" i="34"/>
  <c r="AT45" i="34"/>
  <c r="L45" i="41"/>
  <c r="L44" i="43" s="1"/>
  <c r="AT41" i="34"/>
  <c r="L41" i="41"/>
  <c r="L40" i="43" s="1"/>
  <c r="T49" i="38"/>
  <c r="P21" i="38"/>
  <c r="AA21" i="34"/>
  <c r="AS48" i="34"/>
  <c r="L48" i="41" s="1"/>
  <c r="N21" i="39"/>
  <c r="U49" i="39"/>
  <c r="S49" i="39"/>
  <c r="O49" i="39"/>
  <c r="K49" i="39"/>
  <c r="G49" i="39"/>
  <c r="AG9" i="73"/>
  <c r="P21" i="73"/>
  <c r="R28" i="73"/>
  <c r="R30" i="73" s="1"/>
  <c r="J49" i="73"/>
  <c r="AD39" i="37"/>
  <c r="Y30" i="37"/>
  <c r="U30" i="37"/>
  <c r="R49" i="37"/>
  <c r="N49" i="37"/>
  <c r="J49" i="37"/>
  <c r="F51" i="41"/>
  <c r="O51" i="41" s="1"/>
  <c r="AT34" i="34"/>
  <c r="AG35" i="73"/>
  <c r="AG19" i="73"/>
  <c r="AX29" i="105"/>
  <c r="W29" i="105"/>
  <c r="DJ48" i="105"/>
  <c r="GD48" i="23"/>
  <c r="FZ48" i="23"/>
  <c r="FV48" i="23"/>
  <c r="FR48" i="23"/>
  <c r="FN48" i="23"/>
  <c r="FJ48" i="23"/>
  <c r="EL48" i="23"/>
  <c r="MU48" i="23"/>
  <c r="MQ48" i="23"/>
  <c r="MM48" i="23"/>
  <c r="MI48" i="23"/>
  <c r="ME48" i="23"/>
  <c r="MA48" i="23"/>
  <c r="LW48" i="23"/>
  <c r="LS48" i="23"/>
  <c r="LO48" i="23"/>
  <c r="LK48" i="23"/>
  <c r="JK48" i="23"/>
  <c r="JG48" i="23"/>
  <c r="JC48" i="23"/>
  <c r="IY48" i="23"/>
  <c r="IU48" i="23"/>
  <c r="IQ48" i="23"/>
  <c r="IM48" i="23"/>
  <c r="II48" i="23"/>
  <c r="IE48" i="23"/>
  <c r="IA48" i="23"/>
  <c r="HW48" i="23"/>
  <c r="HS48" i="23"/>
  <c r="HO48" i="23"/>
  <c r="HK48" i="23"/>
  <c r="HG48" i="23"/>
  <c r="HC48" i="23"/>
  <c r="GY48" i="23"/>
  <c r="GR48" i="23"/>
  <c r="GN48" i="23"/>
  <c r="GC48" i="23"/>
  <c r="FY48" i="23"/>
  <c r="FU48" i="23"/>
  <c r="FQ48" i="23"/>
  <c r="FM48" i="23"/>
  <c r="DI48" i="23"/>
  <c r="DE48" i="23"/>
  <c r="DA48" i="23"/>
  <c r="CW48" i="23"/>
  <c r="DF20" i="105"/>
  <c r="DF58" i="105" s="1"/>
  <c r="CY29" i="105"/>
  <c r="GH48" i="23"/>
  <c r="EP48" i="23"/>
  <c r="CP48" i="23"/>
  <c r="CL48" i="23"/>
  <c r="CH48" i="23"/>
  <c r="CD48" i="23"/>
  <c r="BZ48" i="23"/>
  <c r="BV48" i="23"/>
  <c r="BR48" i="23"/>
  <c r="BN48" i="23"/>
  <c r="BJ48" i="23"/>
  <c r="BF48" i="23"/>
  <c r="BB48" i="23"/>
  <c r="AX48" i="23"/>
  <c r="AT48" i="23"/>
  <c r="AC48" i="23"/>
  <c r="Y48" i="23"/>
  <c r="U48" i="23"/>
  <c r="Q48" i="23"/>
  <c r="M48" i="23"/>
  <c r="I48" i="23"/>
  <c r="S48" i="23"/>
  <c r="CR20" i="105"/>
  <c r="CR58" i="105" s="1"/>
  <c r="CN20" i="105"/>
  <c r="CN58" i="105" s="1"/>
  <c r="CF20" i="105"/>
  <c r="CF58" i="105" s="1"/>
  <c r="BN20" i="105"/>
  <c r="BN58" i="105" s="1"/>
  <c r="AW29" i="105"/>
  <c r="CE20" i="105"/>
  <c r="CE58" i="105" s="1"/>
  <c r="CL29" i="105"/>
  <c r="BA29" i="105"/>
  <c r="AI29" i="105"/>
  <c r="Y29" i="105"/>
  <c r="N29" i="105"/>
  <c r="DE48" i="105"/>
  <c r="CQ48" i="105"/>
  <c r="CE48" i="105"/>
  <c r="CA48" i="105"/>
  <c r="BW48" i="105"/>
  <c r="BS48" i="105"/>
  <c r="BO48" i="105"/>
  <c r="BG48" i="105"/>
  <c r="BC48" i="105"/>
  <c r="AY48" i="105"/>
  <c r="AQ48" i="105"/>
  <c r="AM48" i="105"/>
  <c r="AI48" i="105"/>
  <c r="AA48" i="105"/>
  <c r="W48" i="105"/>
  <c r="S48" i="105"/>
  <c r="K48" i="105"/>
  <c r="G48" i="105"/>
  <c r="M30" i="37"/>
  <c r="S49" i="37"/>
  <c r="O49" i="37"/>
  <c r="K49" i="37"/>
  <c r="F49" i="37"/>
  <c r="X49" i="37"/>
  <c r="BN51" i="40"/>
  <c r="I12" i="41"/>
  <c r="I11" i="43" s="1"/>
  <c r="I43" i="41"/>
  <c r="I42" i="43" s="1"/>
  <c r="FX48" i="23"/>
  <c r="FP48" i="23"/>
  <c r="ET48" i="23"/>
  <c r="DJ48" i="23"/>
  <c r="DF48" i="23"/>
  <c r="DB48" i="23"/>
  <c r="CX48" i="23"/>
  <c r="AM48" i="23"/>
  <c r="AG48" i="23"/>
  <c r="AB48" i="23"/>
  <c r="X48" i="23"/>
  <c r="T48" i="23"/>
  <c r="P48" i="23"/>
  <c r="L48" i="23"/>
  <c r="H48" i="23"/>
  <c r="EI48" i="23"/>
  <c r="DS48" i="23"/>
  <c r="DG48" i="23"/>
  <c r="CQ48" i="23"/>
  <c r="CA48" i="23"/>
  <c r="BK48" i="23"/>
  <c r="AU48" i="23"/>
  <c r="CL20" i="105"/>
  <c r="CL58" i="105" s="1"/>
  <c r="BX20" i="105"/>
  <c r="BX58" i="105" s="1"/>
  <c r="BM20" i="105"/>
  <c r="BM58" i="105" s="1"/>
  <c r="BE20" i="105"/>
  <c r="BE58" i="105" s="1"/>
  <c r="AM20" i="105"/>
  <c r="AM58" i="105" s="1"/>
  <c r="AI20" i="105"/>
  <c r="AI58" i="105" s="1"/>
  <c r="AA20" i="105"/>
  <c r="AA58" i="105" s="1"/>
  <c r="W20" i="105"/>
  <c r="W58" i="105" s="1"/>
  <c r="O20" i="105"/>
  <c r="O58" i="105" s="1"/>
  <c r="K20" i="105"/>
  <c r="K58" i="105" s="1"/>
  <c r="BY29" i="105"/>
  <c r="AG20" i="105"/>
  <c r="AG58" i="105" s="1"/>
  <c r="AC20" i="105"/>
  <c r="AC58" i="105" s="1"/>
  <c r="U20" i="105"/>
  <c r="U58" i="105" s="1"/>
  <c r="I20" i="105"/>
  <c r="I58" i="105" s="1"/>
  <c r="BY20" i="105"/>
  <c r="BY58" i="105" s="1"/>
  <c r="DB29" i="105"/>
  <c r="I28" i="105"/>
  <c r="I29" i="105" s="1"/>
  <c r="I50" i="41"/>
  <c r="I49" i="43" s="1"/>
  <c r="DV44" i="105"/>
  <c r="DV40" i="105"/>
  <c r="DV50" i="105"/>
  <c r="L30" i="34"/>
  <c r="F30" i="34"/>
  <c r="AS38" i="34"/>
  <c r="AG34" i="73"/>
  <c r="L34" i="43"/>
  <c r="AG28" i="34"/>
  <c r="AG30" i="34" s="1"/>
  <c r="Y28" i="34"/>
  <c r="U28" i="34"/>
  <c r="U30" i="34" s="1"/>
  <c r="Q28" i="34"/>
  <c r="I28" i="34"/>
  <c r="I30" i="34" s="1"/>
  <c r="AS29" i="34"/>
  <c r="AQ39" i="34"/>
  <c r="AD49" i="34"/>
  <c r="Z49" i="34"/>
  <c r="AQ47" i="34"/>
  <c r="AA48" i="39"/>
  <c r="P21" i="37"/>
  <c r="AT9" i="34"/>
  <c r="L49" i="43"/>
  <c r="AT44" i="34"/>
  <c r="L44" i="41"/>
  <c r="AT40" i="34"/>
  <c r="L40" i="41"/>
  <c r="L33" i="43"/>
  <c r="AT24" i="34"/>
  <c r="L24" i="41"/>
  <c r="L17" i="43"/>
  <c r="L13" i="43"/>
  <c r="AT50" i="34"/>
  <c r="I11" i="41"/>
  <c r="I10" i="43" s="1"/>
  <c r="AG43" i="73"/>
  <c r="X29" i="38"/>
  <c r="R21" i="38"/>
  <c r="N21" i="38"/>
  <c r="AP13" i="34"/>
  <c r="AP21" i="34" s="1"/>
  <c r="F21" i="34"/>
  <c r="AQ13" i="34"/>
  <c r="AS22" i="34"/>
  <c r="AJ28" i="34"/>
  <c r="AJ30" i="34" s="1"/>
  <c r="AB28" i="34"/>
  <c r="X28" i="34"/>
  <c r="X30" i="34" s="1"/>
  <c r="T28" i="34"/>
  <c r="P28" i="34"/>
  <c r="AQ29" i="34"/>
  <c r="AA13" i="39"/>
  <c r="AA28" i="39" s="1"/>
  <c r="U21" i="39"/>
  <c r="U28" i="39"/>
  <c r="U30" i="39" s="1"/>
  <c r="Q21" i="39"/>
  <c r="Q28" i="39"/>
  <c r="Q30" i="39" s="1"/>
  <c r="M28" i="39"/>
  <c r="I21" i="39"/>
  <c r="I28" i="39"/>
  <c r="I30" i="39" s="1"/>
  <c r="L30" i="39"/>
  <c r="O49" i="73"/>
  <c r="AF49" i="73" s="1"/>
  <c r="L21" i="37"/>
  <c r="P49" i="37"/>
  <c r="L49" i="37"/>
  <c r="L42" i="43"/>
  <c r="AT37" i="34"/>
  <c r="AT33" i="34"/>
  <c r="L26" i="43"/>
  <c r="L22" i="43"/>
  <c r="L12" i="41"/>
  <c r="AT12" i="34"/>
  <c r="AT46" i="34"/>
  <c r="I19" i="41"/>
  <c r="I15" i="41"/>
  <c r="I14" i="43" s="1"/>
  <c r="L36" i="43"/>
  <c r="AP48" i="34"/>
  <c r="AS13" i="34"/>
  <c r="AP22" i="34"/>
  <c r="AT18" i="34"/>
  <c r="AT14" i="34"/>
  <c r="L30" i="43"/>
  <c r="L9" i="43"/>
  <c r="I44" i="41"/>
  <c r="I43" i="43" s="1"/>
  <c r="I40" i="41"/>
  <c r="I39" i="43" s="1"/>
  <c r="I27" i="41"/>
  <c r="I23" i="41"/>
  <c r="I22" i="43" s="1"/>
  <c r="X13" i="38"/>
  <c r="X28" i="38" s="1"/>
  <c r="X30" i="38" s="1"/>
  <c r="X39" i="38"/>
  <c r="U21" i="38"/>
  <c r="Q21" i="38"/>
  <c r="I21" i="38"/>
  <c r="Q51" i="41"/>
  <c r="L21" i="34"/>
  <c r="AS39" i="34"/>
  <c r="L49" i="34"/>
  <c r="AS47" i="34"/>
  <c r="AQ48" i="34"/>
  <c r="Y21" i="73"/>
  <c r="Y28" i="73"/>
  <c r="Y30" i="73" s="1"/>
  <c r="AF13" i="73"/>
  <c r="O21" i="73"/>
  <c r="AF21" i="73" s="1"/>
  <c r="O28" i="73"/>
  <c r="Y49" i="73"/>
  <c r="AT10" i="34"/>
  <c r="L45" i="43"/>
  <c r="L41" i="43"/>
  <c r="AT36" i="34"/>
  <c r="L36" i="41"/>
  <c r="AT32" i="34"/>
  <c r="L32" i="41"/>
  <c r="L25" i="43"/>
  <c r="L16" i="41"/>
  <c r="AT16" i="34"/>
  <c r="AT26" i="34"/>
  <c r="I35" i="41"/>
  <c r="I34" i="43" s="1"/>
  <c r="I31" i="41"/>
  <c r="I30" i="43" s="1"/>
  <c r="L32" i="43"/>
  <c r="L16" i="43"/>
  <c r="BL39" i="40"/>
  <c r="X49" i="34"/>
  <c r="AA38" i="39"/>
  <c r="AA29" i="39"/>
  <c r="AD38" i="37"/>
  <c r="AD29" i="37"/>
  <c r="Y21" i="37"/>
  <c r="U21" i="37"/>
  <c r="M21" i="37"/>
  <c r="I21" i="37"/>
  <c r="AT51" i="34"/>
  <c r="AT43" i="34"/>
  <c r="AT35" i="34"/>
  <c r="AT31" i="34"/>
  <c r="AT27" i="34"/>
  <c r="AT23" i="34"/>
  <c r="I9" i="41"/>
  <c r="I8" i="43" s="1"/>
  <c r="BM39" i="40"/>
  <c r="I39" i="41" s="1"/>
  <c r="KY20" i="23"/>
  <c r="KY57" i="23" s="1"/>
  <c r="FU20" i="23"/>
  <c r="FU57" i="23" s="1"/>
  <c r="FM20" i="23"/>
  <c r="FM57" i="23" s="1"/>
  <c r="FI20" i="23"/>
  <c r="FI57" i="23" s="1"/>
  <c r="EW20" i="23"/>
  <c r="EW57" i="23" s="1"/>
  <c r="EK20" i="23"/>
  <c r="EK57" i="23" s="1"/>
  <c r="EG20" i="23"/>
  <c r="EG57" i="23" s="1"/>
  <c r="DY20" i="23"/>
  <c r="DY57" i="23" s="1"/>
  <c r="DU20" i="23"/>
  <c r="DU57" i="23" s="1"/>
  <c r="DM20" i="23"/>
  <c r="DM57" i="23" s="1"/>
  <c r="DA20" i="23"/>
  <c r="DA57" i="23" s="1"/>
  <c r="CO20" i="23"/>
  <c r="CO57" i="23" s="1"/>
  <c r="CC20" i="23"/>
  <c r="CC57" i="23" s="1"/>
  <c r="BU20" i="23"/>
  <c r="BU57" i="23" s="1"/>
  <c r="BQ20" i="23"/>
  <c r="BQ57" i="23" s="1"/>
  <c r="BM20" i="23"/>
  <c r="BM57" i="23" s="1"/>
  <c r="BE20" i="23"/>
  <c r="BE57" i="23" s="1"/>
  <c r="AW20" i="23"/>
  <c r="AW57" i="23" s="1"/>
  <c r="AS20" i="23"/>
  <c r="AS57" i="23" s="1"/>
  <c r="AO20" i="23"/>
  <c r="AO57" i="23" s="1"/>
  <c r="AK20" i="23"/>
  <c r="AK57" i="23" s="1"/>
  <c r="MX59" i="23"/>
  <c r="MX28" i="23"/>
  <c r="MX29" i="23" s="1"/>
  <c r="MP59" i="23"/>
  <c r="MP28" i="23"/>
  <c r="MP29" i="23" s="1"/>
  <c r="ML59" i="23"/>
  <c r="ML28" i="23"/>
  <c r="ML29" i="23" s="1"/>
  <c r="LZ59" i="23"/>
  <c r="LZ28" i="23"/>
  <c r="LZ29" i="23" s="1"/>
  <c r="LV59" i="23"/>
  <c r="LV28" i="23"/>
  <c r="LN59" i="23"/>
  <c r="LN28" i="23"/>
  <c r="LN29" i="23" s="1"/>
  <c r="LJ59" i="23"/>
  <c r="LJ28" i="23"/>
  <c r="LJ29" i="23" s="1"/>
  <c r="LB59" i="23"/>
  <c r="LB28" i="23"/>
  <c r="LB29" i="23" s="1"/>
  <c r="KX59" i="23"/>
  <c r="KX28" i="23"/>
  <c r="KX29" i="23" s="1"/>
  <c r="KT59" i="23"/>
  <c r="KT28" i="23"/>
  <c r="KP59" i="23"/>
  <c r="KP28" i="23"/>
  <c r="KP29" i="23" s="1"/>
  <c r="KP20" i="23"/>
  <c r="KP57" i="23" s="1"/>
  <c r="KL59" i="23"/>
  <c r="KL28" i="23"/>
  <c r="KL29" i="23" s="1"/>
  <c r="KL20" i="23"/>
  <c r="KL57" i="23" s="1"/>
  <c r="KH59" i="23"/>
  <c r="KH20" i="23"/>
  <c r="KH28" i="23"/>
  <c r="KH29" i="23" s="1"/>
  <c r="KD59" i="23"/>
  <c r="KD28" i="23"/>
  <c r="KD29" i="23" s="1"/>
  <c r="KD20" i="23"/>
  <c r="KD57" i="23" s="1"/>
  <c r="JZ59" i="23"/>
  <c r="JZ28" i="23"/>
  <c r="JZ29" i="23" s="1"/>
  <c r="JZ20" i="23"/>
  <c r="JZ57" i="23" s="1"/>
  <c r="JV59" i="23"/>
  <c r="JV28" i="23"/>
  <c r="JV29" i="23" s="1"/>
  <c r="JV20" i="23"/>
  <c r="JV57" i="23" s="1"/>
  <c r="JR59" i="23"/>
  <c r="JR28" i="23"/>
  <c r="JR29" i="23" s="1"/>
  <c r="JR20" i="23"/>
  <c r="JR57" i="23" s="1"/>
  <c r="JN59" i="23"/>
  <c r="JJ59" i="23"/>
  <c r="JJ28" i="23"/>
  <c r="JJ29" i="23" s="1"/>
  <c r="JJ20" i="23"/>
  <c r="JJ57" i="23" s="1"/>
  <c r="JF59" i="23"/>
  <c r="JF20" i="23"/>
  <c r="JF57" i="23" s="1"/>
  <c r="JF28" i="23"/>
  <c r="JF29" i="23" s="1"/>
  <c r="JB59" i="23"/>
  <c r="JB28" i="23"/>
  <c r="JB29" i="23" s="1"/>
  <c r="JB20" i="23"/>
  <c r="JB57" i="23" s="1"/>
  <c r="IX59" i="23"/>
  <c r="IX20" i="23"/>
  <c r="IX57" i="23" s="1"/>
  <c r="IX28" i="23"/>
  <c r="IX29" i="23" s="1"/>
  <c r="IT59" i="23"/>
  <c r="IT28" i="23"/>
  <c r="IT29" i="23" s="1"/>
  <c r="IT20" i="23"/>
  <c r="IT57" i="23" s="1"/>
  <c r="IP59" i="23"/>
  <c r="IP28" i="23"/>
  <c r="IL59" i="23"/>
  <c r="IL28" i="23"/>
  <c r="IL29" i="23" s="1"/>
  <c r="IL20" i="23"/>
  <c r="IL57" i="23" s="1"/>
  <c r="IH59" i="23"/>
  <c r="IH28" i="23"/>
  <c r="ID59" i="23"/>
  <c r="ID28" i="23"/>
  <c r="ID29" i="23" s="1"/>
  <c r="ID20" i="23"/>
  <c r="ID57" i="23" s="1"/>
  <c r="HZ59" i="23"/>
  <c r="HZ28" i="23"/>
  <c r="HZ29" i="23" s="1"/>
  <c r="HZ20" i="23"/>
  <c r="HZ57" i="23" s="1"/>
  <c r="HV59" i="23"/>
  <c r="HV28" i="23"/>
  <c r="HV29" i="23" s="1"/>
  <c r="HV20" i="23"/>
  <c r="HV57" i="23" s="1"/>
  <c r="HR59" i="23"/>
  <c r="HR28" i="23"/>
  <c r="HR29" i="23" s="1"/>
  <c r="HR20" i="23"/>
  <c r="HR57" i="23" s="1"/>
  <c r="HN59" i="23"/>
  <c r="HN20" i="23"/>
  <c r="HN57" i="23" s="1"/>
  <c r="HN28" i="23"/>
  <c r="HN29" i="23" s="1"/>
  <c r="HJ59" i="23"/>
  <c r="HJ28" i="23"/>
  <c r="HF59" i="23"/>
  <c r="HF28" i="23"/>
  <c r="HB59" i="23"/>
  <c r="HB28" i="23"/>
  <c r="HB29" i="23" s="1"/>
  <c r="HB20" i="23"/>
  <c r="HB57" i="23" s="1"/>
  <c r="GX59" i="23"/>
  <c r="GX28" i="23"/>
  <c r="GQ59" i="23"/>
  <c r="GJ59" i="23"/>
  <c r="GJ28" i="23"/>
  <c r="GJ29" i="23" s="1"/>
  <c r="GJ20" i="23"/>
  <c r="GF59" i="23"/>
  <c r="GB59" i="23"/>
  <c r="GB28" i="23"/>
  <c r="GB29" i="23" s="1"/>
  <c r="GB20" i="23"/>
  <c r="FX59" i="23"/>
  <c r="FX28" i="23"/>
  <c r="FX29" i="23" s="1"/>
  <c r="FX20" i="23"/>
  <c r="FX57" i="23" s="1"/>
  <c r="FT59" i="23"/>
  <c r="FT28" i="23"/>
  <c r="FP59" i="23"/>
  <c r="FP28" i="23"/>
  <c r="FP29" i="23" s="1"/>
  <c r="FP20" i="23"/>
  <c r="FP57" i="23" s="1"/>
  <c r="FL59" i="23"/>
  <c r="FL28" i="23"/>
  <c r="FL29" i="23" s="1"/>
  <c r="FL20" i="23"/>
  <c r="FL57" i="23" s="1"/>
  <c r="FH59" i="23"/>
  <c r="FD20" i="23"/>
  <c r="FD57" i="23" s="1"/>
  <c r="EZ20" i="23"/>
  <c r="EZ57" i="23" s="1"/>
  <c r="EN20" i="23"/>
  <c r="EN57" i="23" s="1"/>
  <c r="EF20" i="23"/>
  <c r="EB20" i="23"/>
  <c r="EB57" i="23" s="1"/>
  <c r="DT20" i="23"/>
  <c r="DT57" i="23" s="1"/>
  <c r="DP20" i="23"/>
  <c r="DP57" i="23" s="1"/>
  <c r="DL20" i="23"/>
  <c r="DL57" i="23" s="1"/>
  <c r="DD20" i="23"/>
  <c r="DD57" i="23" s="1"/>
  <c r="CR20" i="23"/>
  <c r="CR57" i="23" s="1"/>
  <c r="CF20" i="23"/>
  <c r="CF57" i="23" s="1"/>
  <c r="BT20" i="23"/>
  <c r="BT57" i="23" s="1"/>
  <c r="BP20" i="23"/>
  <c r="BP57" i="23" s="1"/>
  <c r="BL20" i="23"/>
  <c r="BL57" i="23" s="1"/>
  <c r="BH20" i="23"/>
  <c r="BH57" i="23" s="1"/>
  <c r="AV20" i="23"/>
  <c r="AV57" i="23" s="1"/>
  <c r="AR20" i="23"/>
  <c r="AR57" i="23" s="1"/>
  <c r="AN20" i="23"/>
  <c r="AN57" i="23" s="1"/>
  <c r="AJ20" i="23"/>
  <c r="AJ57" i="23" s="1"/>
  <c r="O20" i="23"/>
  <c r="O61" i="23" s="1"/>
  <c r="ML20" i="23"/>
  <c r="ML57" i="23" s="1"/>
  <c r="LV20" i="23"/>
  <c r="LV57" i="23" s="1"/>
  <c r="LN20" i="23"/>
  <c r="LN57" i="23" s="1"/>
  <c r="JK20" i="23"/>
  <c r="JK57" i="23" s="1"/>
  <c r="IE20" i="23"/>
  <c r="IE57" i="23" s="1"/>
  <c r="HO20" i="23"/>
  <c r="HO57" i="23" s="1"/>
  <c r="GY20" i="23"/>
  <c r="GY57" i="23" s="1"/>
  <c r="GC20" i="23"/>
  <c r="GC57" i="23" s="1"/>
  <c r="ML61" i="23"/>
  <c r="JB61" i="23"/>
  <c r="ID61" i="23"/>
  <c r="HR61" i="23"/>
  <c r="AB20" i="23"/>
  <c r="AB57" i="23" s="1"/>
  <c r="X20" i="23"/>
  <c r="X57" i="23" s="1"/>
  <c r="T20" i="23"/>
  <c r="T57" i="23" s="1"/>
  <c r="L20" i="23"/>
  <c r="L57" i="23" s="1"/>
  <c r="MW59" i="23"/>
  <c r="MW28" i="23"/>
  <c r="MW29" i="23" s="1"/>
  <c r="MW20" i="23"/>
  <c r="MW57" i="23" s="1"/>
  <c r="MS59" i="23"/>
  <c r="MS28" i="23"/>
  <c r="MS29" i="23" s="1"/>
  <c r="MS20" i="23"/>
  <c r="MS57" i="23" s="1"/>
  <c r="MO59" i="23"/>
  <c r="MO20" i="23"/>
  <c r="MO57" i="23" s="1"/>
  <c r="MO28" i="23"/>
  <c r="MO29" i="23" s="1"/>
  <c r="MK59" i="23"/>
  <c r="MG59" i="23"/>
  <c r="MG28" i="23"/>
  <c r="MG29" i="23" s="1"/>
  <c r="MG20" i="23"/>
  <c r="MG57" i="23" s="1"/>
  <c r="MC59" i="23"/>
  <c r="MC28" i="23"/>
  <c r="MC29" i="23" s="1"/>
  <c r="MC20" i="23"/>
  <c r="MC57" i="23" s="1"/>
  <c r="LY59" i="23"/>
  <c r="LY20" i="23"/>
  <c r="LY57" i="23" s="1"/>
  <c r="LY28" i="23"/>
  <c r="LY29" i="23" s="1"/>
  <c r="LU59" i="23"/>
  <c r="LU28" i="23"/>
  <c r="LU29" i="23" s="1"/>
  <c r="LU20" i="23"/>
  <c r="LU57" i="23" s="1"/>
  <c r="LQ59" i="23"/>
  <c r="LQ28" i="23"/>
  <c r="LQ29" i="23" s="1"/>
  <c r="LQ20" i="23"/>
  <c r="LQ57" i="23" s="1"/>
  <c r="LM59" i="23"/>
  <c r="LM28" i="23"/>
  <c r="LM29" i="23" s="1"/>
  <c r="LM20" i="23"/>
  <c r="LM57" i="23" s="1"/>
  <c r="LI59" i="23"/>
  <c r="LI20" i="23"/>
  <c r="LI57" i="23" s="1"/>
  <c r="LI28" i="23"/>
  <c r="LI29" i="23" s="1"/>
  <c r="LE59" i="23"/>
  <c r="LE28" i="23"/>
  <c r="LE29" i="23" s="1"/>
  <c r="LE20" i="23"/>
  <c r="LE57" i="23" s="1"/>
  <c r="LA59" i="23"/>
  <c r="LA28" i="23"/>
  <c r="LA29" i="23" s="1"/>
  <c r="LA20" i="23"/>
  <c r="LA57" i="23" s="1"/>
  <c r="KW59" i="23"/>
  <c r="KW28" i="23"/>
  <c r="KW29" i="23" s="1"/>
  <c r="KW20" i="23"/>
  <c r="KW57" i="23" s="1"/>
  <c r="KS59" i="23"/>
  <c r="KS20" i="23"/>
  <c r="KS57" i="23" s="1"/>
  <c r="KS28" i="23"/>
  <c r="KS29" i="23" s="1"/>
  <c r="KO59" i="23"/>
  <c r="KK59" i="23"/>
  <c r="KK28" i="23"/>
  <c r="KK20" i="23"/>
  <c r="KK57" i="23" s="1"/>
  <c r="KG59" i="23"/>
  <c r="KG20" i="23"/>
  <c r="KG57" i="23" s="1"/>
  <c r="KG28" i="23"/>
  <c r="KG29" i="23" s="1"/>
  <c r="KC59" i="23"/>
  <c r="JY59" i="23"/>
  <c r="JU59" i="23"/>
  <c r="JU28" i="23"/>
  <c r="JU29" i="23" s="1"/>
  <c r="JQ59" i="23"/>
  <c r="JQ28" i="23"/>
  <c r="JM59" i="23"/>
  <c r="JI59" i="23"/>
  <c r="JI28" i="23"/>
  <c r="JI29" i="23" s="1"/>
  <c r="JI20" i="23"/>
  <c r="JI57" i="23" s="1"/>
  <c r="JE59" i="23"/>
  <c r="JA59" i="23"/>
  <c r="JA28" i="23"/>
  <c r="JA29" i="23" s="1"/>
  <c r="JA20" i="23"/>
  <c r="JA57" i="23" s="1"/>
  <c r="IW59" i="23"/>
  <c r="IW20" i="23"/>
  <c r="IW57" i="23" s="1"/>
  <c r="IW28" i="23"/>
  <c r="IW29" i="23" s="1"/>
  <c r="IS59" i="23"/>
  <c r="IS28" i="23"/>
  <c r="IS29" i="23" s="1"/>
  <c r="IS20" i="23"/>
  <c r="IS57" i="23" s="1"/>
  <c r="IO59" i="23"/>
  <c r="IK59" i="23"/>
  <c r="IK20" i="23"/>
  <c r="IK57" i="23" s="1"/>
  <c r="IK28" i="23"/>
  <c r="IK29" i="23" s="1"/>
  <c r="IG59" i="23"/>
  <c r="IG28" i="23"/>
  <c r="IC59" i="23"/>
  <c r="IC28" i="23"/>
  <c r="IC29" i="23" s="1"/>
  <c r="IC20" i="23"/>
  <c r="IC57" i="23" s="1"/>
  <c r="HY59" i="23"/>
  <c r="HY28" i="23"/>
  <c r="HY29" i="23" s="1"/>
  <c r="HY20" i="23"/>
  <c r="HY57" i="23" s="1"/>
  <c r="HU59" i="23"/>
  <c r="HU20" i="23"/>
  <c r="HU57" i="23" s="1"/>
  <c r="HU28" i="23"/>
  <c r="HU29" i="23" s="1"/>
  <c r="HQ59" i="23"/>
  <c r="HQ28" i="23"/>
  <c r="HQ20" i="23"/>
  <c r="HQ57" i="23" s="1"/>
  <c r="HM59" i="23"/>
  <c r="HM28" i="23"/>
  <c r="HM29" i="23" s="1"/>
  <c r="HM20" i="23"/>
  <c r="HM57" i="23" s="1"/>
  <c r="HI59" i="23"/>
  <c r="HI28" i="23"/>
  <c r="HE59" i="23"/>
  <c r="HE28" i="23"/>
  <c r="HE29" i="23" s="1"/>
  <c r="HE20" i="23"/>
  <c r="HE57" i="23" s="1"/>
  <c r="HA59" i="23"/>
  <c r="HA28" i="23"/>
  <c r="GW59" i="23"/>
  <c r="GW28" i="23"/>
  <c r="GP59" i="23"/>
  <c r="GP20" i="23"/>
  <c r="GP57" i="23" s="1"/>
  <c r="GP28" i="23"/>
  <c r="GP29" i="23" s="1"/>
  <c r="GI59" i="23"/>
  <c r="GE59" i="23"/>
  <c r="GE28" i="23"/>
  <c r="GE29" i="23" s="1"/>
  <c r="GE20" i="23"/>
  <c r="GE57" i="23" s="1"/>
  <c r="GA59" i="23"/>
  <c r="GA28" i="23"/>
  <c r="GA29" i="23" s="1"/>
  <c r="GA20" i="23"/>
  <c r="GA57" i="23" s="1"/>
  <c r="FW59" i="23"/>
  <c r="FW28" i="23"/>
  <c r="FW29" i="23" s="1"/>
  <c r="FW20" i="23"/>
  <c r="FW57" i="23" s="1"/>
  <c r="FS59" i="23"/>
  <c r="FS28" i="23"/>
  <c r="FS29" i="23" s="1"/>
  <c r="FS20" i="23"/>
  <c r="FS57" i="23" s="1"/>
  <c r="FO59" i="23"/>
  <c r="FO28" i="23"/>
  <c r="FO29" i="23" s="1"/>
  <c r="FO20" i="23"/>
  <c r="FO57" i="23" s="1"/>
  <c r="FK59" i="23"/>
  <c r="FK28" i="23"/>
  <c r="FG59" i="23"/>
  <c r="FC59" i="23"/>
  <c r="FC28" i="23"/>
  <c r="FC29" i="23" s="1"/>
  <c r="FC20" i="23"/>
  <c r="EY59" i="23"/>
  <c r="EY28" i="23"/>
  <c r="EY29" i="23" s="1"/>
  <c r="EY20" i="23"/>
  <c r="EY57" i="23" s="1"/>
  <c r="EU59" i="23"/>
  <c r="EQ59" i="23"/>
  <c r="EQ20" i="23"/>
  <c r="EQ57" i="23" s="1"/>
  <c r="EQ28" i="23"/>
  <c r="EQ29" i="23" s="1"/>
  <c r="EM59" i="23"/>
  <c r="EM28" i="23"/>
  <c r="EI59" i="23"/>
  <c r="EI20" i="23"/>
  <c r="EI57" i="23" s="1"/>
  <c r="EI28" i="23"/>
  <c r="EI29" i="23" s="1"/>
  <c r="EE59" i="23"/>
  <c r="EE28" i="23"/>
  <c r="EE29" i="23" s="1"/>
  <c r="EE20" i="23"/>
  <c r="EE57" i="23" s="1"/>
  <c r="EA59" i="23"/>
  <c r="EA28" i="23"/>
  <c r="DW59" i="23"/>
  <c r="DW28" i="23"/>
  <c r="DW29" i="23" s="1"/>
  <c r="DW20" i="23"/>
  <c r="DW57" i="23" s="1"/>
  <c r="DS59" i="23"/>
  <c r="DS28" i="23"/>
  <c r="DS29" i="23" s="1"/>
  <c r="DS20" i="23"/>
  <c r="DS57" i="23" s="1"/>
  <c r="DO59" i="23"/>
  <c r="DO20" i="23"/>
  <c r="DO57" i="23" s="1"/>
  <c r="DO28" i="23"/>
  <c r="DO29" i="23" s="1"/>
  <c r="DK59" i="23"/>
  <c r="DK28" i="23"/>
  <c r="DK29" i="23" s="1"/>
  <c r="DK20" i="23"/>
  <c r="DK57" i="23" s="1"/>
  <c r="DG59" i="23"/>
  <c r="DG28" i="23"/>
  <c r="DG29" i="23" s="1"/>
  <c r="DG20" i="23"/>
  <c r="DG57" i="23" s="1"/>
  <c r="DC59" i="23"/>
  <c r="CY59" i="23"/>
  <c r="CY28" i="23"/>
  <c r="CU59" i="23"/>
  <c r="CU20" i="23"/>
  <c r="CU57" i="23" s="1"/>
  <c r="CU28" i="23"/>
  <c r="CU29" i="23" s="1"/>
  <c r="CQ59" i="23"/>
  <c r="CQ28" i="23"/>
  <c r="CM59" i="23"/>
  <c r="CM28" i="23"/>
  <c r="CI59" i="23"/>
  <c r="CI28" i="23"/>
  <c r="CI29" i="23" s="1"/>
  <c r="CI20" i="23"/>
  <c r="CI57" i="23" s="1"/>
  <c r="CE59" i="23"/>
  <c r="CE28" i="23"/>
  <c r="CA59" i="23"/>
  <c r="CA28" i="23"/>
  <c r="BW59" i="23"/>
  <c r="BW20" i="23"/>
  <c r="BW57" i="23" s="1"/>
  <c r="BW28" i="23"/>
  <c r="BW29" i="23" s="1"/>
  <c r="BS59" i="23"/>
  <c r="BS20" i="23"/>
  <c r="BS57" i="23" s="1"/>
  <c r="BS28" i="23"/>
  <c r="BS29" i="23" s="1"/>
  <c r="BO59" i="23"/>
  <c r="BO28" i="23"/>
  <c r="BO29" i="23" s="1"/>
  <c r="BO20" i="23"/>
  <c r="BO57" i="23" s="1"/>
  <c r="BK59" i="23"/>
  <c r="BK28" i="23"/>
  <c r="BK29" i="23" s="1"/>
  <c r="BK20" i="23"/>
  <c r="BK57" i="23" s="1"/>
  <c r="BG59" i="23"/>
  <c r="BG28" i="23"/>
  <c r="BG29" i="23" s="1"/>
  <c r="BG20" i="23"/>
  <c r="BG57" i="23" s="1"/>
  <c r="BC59" i="23"/>
  <c r="AY59" i="23"/>
  <c r="AY28" i="23"/>
  <c r="AY29" i="23" s="1"/>
  <c r="AY20" i="23"/>
  <c r="AU59" i="23"/>
  <c r="AU28" i="23"/>
  <c r="AU20" i="23"/>
  <c r="AU57" i="23" s="1"/>
  <c r="AQ59" i="23"/>
  <c r="AQ20" i="23"/>
  <c r="AQ57" i="23" s="1"/>
  <c r="AQ28" i="23"/>
  <c r="AQ29" i="23" s="1"/>
  <c r="AM59" i="23"/>
  <c r="AM28" i="23"/>
  <c r="AM29" i="23" s="1"/>
  <c r="AM20" i="23"/>
  <c r="AM57" i="23" s="1"/>
  <c r="AD59" i="23"/>
  <c r="AD28" i="23"/>
  <c r="AD29" i="23" s="1"/>
  <c r="AD20" i="23"/>
  <c r="Z59" i="23"/>
  <c r="V59" i="23"/>
  <c r="R59" i="23"/>
  <c r="R28" i="23"/>
  <c r="R29" i="23" s="1"/>
  <c r="R20" i="23"/>
  <c r="R57" i="23" s="1"/>
  <c r="N59" i="23"/>
  <c r="N28" i="23"/>
  <c r="N20" i="23"/>
  <c r="J59" i="23"/>
  <c r="F59" i="23"/>
  <c r="F28" i="23"/>
  <c r="F20" i="23"/>
  <c r="MI20" i="23"/>
  <c r="MI57" i="23" s="1"/>
  <c r="LK20" i="23"/>
  <c r="LK57" i="23" s="1"/>
  <c r="IQ20" i="23"/>
  <c r="IQ57" i="23" s="1"/>
  <c r="IA20" i="23"/>
  <c r="IA57" i="23" s="1"/>
  <c r="HK20" i="23"/>
  <c r="HK57" i="23" s="1"/>
  <c r="GR20" i="23"/>
  <c r="GR57" i="23" s="1"/>
  <c r="AA21" i="37"/>
  <c r="W21" i="37"/>
  <c r="S21" i="37"/>
  <c r="O21" i="37"/>
  <c r="L9" i="41"/>
  <c r="LU61" i="23"/>
  <c r="JU20" i="23"/>
  <c r="JU57" i="23" s="1"/>
  <c r="DK61" i="23"/>
  <c r="NB12" i="23"/>
  <c r="MV59" i="23"/>
  <c r="MV28" i="23"/>
  <c r="MV29" i="23" s="1"/>
  <c r="MV20" i="23"/>
  <c r="MV57" i="23" s="1"/>
  <c r="MR59" i="23"/>
  <c r="MR28" i="23"/>
  <c r="MR20" i="23"/>
  <c r="MR57" i="23" s="1"/>
  <c r="MN59" i="23"/>
  <c r="MN20" i="23"/>
  <c r="MN28" i="23"/>
  <c r="MN29" i="23" s="1"/>
  <c r="MJ59" i="23"/>
  <c r="MJ20" i="23"/>
  <c r="MJ28" i="23"/>
  <c r="MJ29" i="23" s="1"/>
  <c r="MF59" i="23"/>
  <c r="MF28" i="23"/>
  <c r="MF29" i="23" s="1"/>
  <c r="MF20" i="23"/>
  <c r="MF57" i="23" s="1"/>
  <c r="MB59" i="23"/>
  <c r="LX59" i="23"/>
  <c r="LT59" i="23"/>
  <c r="LT20" i="23"/>
  <c r="LT57" i="23" s="1"/>
  <c r="LT28" i="23"/>
  <c r="LT29" i="23" s="1"/>
  <c r="LP59" i="23"/>
  <c r="LP28" i="23"/>
  <c r="LP29" i="23" s="1"/>
  <c r="LP20" i="23"/>
  <c r="LL59" i="23"/>
  <c r="LH59" i="23"/>
  <c r="LH20" i="23"/>
  <c r="LH28" i="23"/>
  <c r="LD59" i="23"/>
  <c r="LD20" i="23"/>
  <c r="LD57" i="23" s="1"/>
  <c r="LD28" i="23"/>
  <c r="LD29" i="23" s="1"/>
  <c r="KZ59" i="23"/>
  <c r="KZ28" i="23"/>
  <c r="KZ29" i="23" s="1"/>
  <c r="KZ20" i="23"/>
  <c r="KZ57" i="23" s="1"/>
  <c r="KV28" i="23"/>
  <c r="KV29" i="23" s="1"/>
  <c r="KV59" i="23"/>
  <c r="KJ59" i="23"/>
  <c r="KJ28" i="23"/>
  <c r="KJ29" i="23" s="1"/>
  <c r="KF59" i="23"/>
  <c r="KF28" i="23"/>
  <c r="KF29" i="23" s="1"/>
  <c r="KB59" i="23"/>
  <c r="KB28" i="23"/>
  <c r="KB29" i="23" s="1"/>
  <c r="JX59" i="23"/>
  <c r="JX28" i="23"/>
  <c r="JX29" i="23" s="1"/>
  <c r="JT59" i="23"/>
  <c r="JT28" i="23"/>
  <c r="JT29" i="23" s="1"/>
  <c r="JT20" i="23"/>
  <c r="JT57" i="23" s="1"/>
  <c r="JP59" i="23"/>
  <c r="JP28" i="23"/>
  <c r="JP29" i="23" s="1"/>
  <c r="JP20" i="23"/>
  <c r="JP57" i="23" s="1"/>
  <c r="JL59" i="23"/>
  <c r="JL28" i="23"/>
  <c r="JL29" i="23" s="1"/>
  <c r="JL20" i="23"/>
  <c r="JH59" i="23"/>
  <c r="JD59" i="23"/>
  <c r="JD28" i="23"/>
  <c r="JD29" i="23" s="1"/>
  <c r="JD20" i="23"/>
  <c r="JD57" i="23" s="1"/>
  <c r="IZ59" i="23"/>
  <c r="IZ28" i="23"/>
  <c r="IZ29" i="23" s="1"/>
  <c r="IZ20" i="23"/>
  <c r="IZ57" i="23" s="1"/>
  <c r="IV59" i="23"/>
  <c r="IV28" i="23"/>
  <c r="IR59" i="23"/>
  <c r="IR28" i="23"/>
  <c r="IR29" i="23" s="1"/>
  <c r="IR20" i="23"/>
  <c r="IR57" i="23" s="1"/>
  <c r="IN59" i="23"/>
  <c r="IN28" i="23"/>
  <c r="IN29" i="23" s="1"/>
  <c r="IN20" i="23"/>
  <c r="IJ59" i="23"/>
  <c r="IJ20" i="23"/>
  <c r="IJ57" i="23" s="1"/>
  <c r="IF59" i="23"/>
  <c r="IF20" i="23"/>
  <c r="IF57" i="23" s="1"/>
  <c r="IF28" i="23"/>
  <c r="IF29" i="23" s="1"/>
  <c r="IB59" i="23"/>
  <c r="IB20" i="23"/>
  <c r="IB57" i="23" s="1"/>
  <c r="IB28" i="23"/>
  <c r="IB29" i="23" s="1"/>
  <c r="HX59" i="23"/>
  <c r="HX28" i="23"/>
  <c r="HX29" i="23" s="1"/>
  <c r="HX20" i="23"/>
  <c r="HX57" i="23" s="1"/>
  <c r="HT59" i="23"/>
  <c r="HT20" i="23"/>
  <c r="HT28" i="23"/>
  <c r="HP59" i="23"/>
  <c r="HP28" i="23"/>
  <c r="HP29" i="23" s="1"/>
  <c r="HP20" i="23"/>
  <c r="HP57" i="23" s="1"/>
  <c r="HL59" i="23"/>
  <c r="HL20" i="23"/>
  <c r="HL57" i="23" s="1"/>
  <c r="HL28" i="23"/>
  <c r="HL29" i="23" s="1"/>
  <c r="HH59" i="23"/>
  <c r="HH28" i="23"/>
  <c r="HH29" i="23" s="1"/>
  <c r="HH20" i="23"/>
  <c r="HH57" i="23" s="1"/>
  <c r="HD59" i="23"/>
  <c r="HD28" i="23"/>
  <c r="GZ59" i="23"/>
  <c r="GZ28" i="23"/>
  <c r="GS59" i="23"/>
  <c r="GS20" i="23"/>
  <c r="GS57" i="23" s="1"/>
  <c r="GS28" i="23"/>
  <c r="GS29" i="23" s="1"/>
  <c r="GO59" i="23"/>
  <c r="GH59" i="23"/>
  <c r="GD59" i="23"/>
  <c r="GD28" i="23"/>
  <c r="GD29" i="23" s="1"/>
  <c r="GD20" i="23"/>
  <c r="GD57" i="23" s="1"/>
  <c r="FZ59" i="23"/>
  <c r="FZ28" i="23"/>
  <c r="FZ29" i="23" s="1"/>
  <c r="FZ20" i="23"/>
  <c r="FZ57" i="23" s="1"/>
  <c r="FV59" i="23"/>
  <c r="FV20" i="23"/>
  <c r="FV57" i="23" s="1"/>
  <c r="FV28" i="23"/>
  <c r="FV29" i="23" s="1"/>
  <c r="FR59" i="23"/>
  <c r="FR20" i="23"/>
  <c r="FR57" i="23" s="1"/>
  <c r="FR28" i="23"/>
  <c r="FR29" i="23" s="1"/>
  <c r="FN59" i="23"/>
  <c r="FN28" i="23"/>
  <c r="FN29" i="23" s="1"/>
  <c r="FN20" i="23"/>
  <c r="FN57" i="23" s="1"/>
  <c r="FJ59" i="23"/>
  <c r="FJ28" i="23"/>
  <c r="FJ29" i="23" s="1"/>
  <c r="FJ20" i="23"/>
  <c r="FJ57" i="23" s="1"/>
  <c r="FF59" i="23"/>
  <c r="FF28" i="23"/>
  <c r="FF29" i="23" s="1"/>
  <c r="FF20" i="23"/>
  <c r="FB59" i="23"/>
  <c r="FB28" i="23"/>
  <c r="EX59" i="23"/>
  <c r="EX28" i="23"/>
  <c r="EX29" i="23" s="1"/>
  <c r="EX20" i="23"/>
  <c r="EX57" i="23" s="1"/>
  <c r="ET59" i="23"/>
  <c r="ET20" i="23"/>
  <c r="ET57" i="23" s="1"/>
  <c r="ET28" i="23"/>
  <c r="ET29" i="23" s="1"/>
  <c r="EP59" i="23"/>
  <c r="EP28" i="23"/>
  <c r="EL59" i="23"/>
  <c r="EL28" i="23"/>
  <c r="EH59" i="23"/>
  <c r="EH28" i="23"/>
  <c r="EH29" i="23" s="1"/>
  <c r="EH20" i="23"/>
  <c r="EH57" i="23" s="1"/>
  <c r="ED59" i="23"/>
  <c r="ED28" i="23"/>
  <c r="DZ59" i="23"/>
  <c r="DZ28" i="23"/>
  <c r="DZ29" i="23" s="1"/>
  <c r="DZ20" i="23"/>
  <c r="DZ57" i="23" s="1"/>
  <c r="DV59" i="23"/>
  <c r="DV20" i="23"/>
  <c r="DV57" i="23" s="1"/>
  <c r="DV28" i="23"/>
  <c r="DV29" i="23" s="1"/>
  <c r="DR59" i="23"/>
  <c r="DR28" i="23"/>
  <c r="DR29" i="23" s="1"/>
  <c r="DR20" i="23"/>
  <c r="DR57" i="23" s="1"/>
  <c r="DN59" i="23"/>
  <c r="DN20" i="23"/>
  <c r="DN57" i="23" s="1"/>
  <c r="DN28" i="23"/>
  <c r="DN29" i="23" s="1"/>
  <c r="DJ59" i="23"/>
  <c r="DJ28" i="23"/>
  <c r="DJ29" i="23" s="1"/>
  <c r="DJ20" i="23"/>
  <c r="DF59" i="23"/>
  <c r="DF28" i="23"/>
  <c r="DB59" i="23"/>
  <c r="CX59" i="23"/>
  <c r="CX28" i="23"/>
  <c r="CX29" i="23" s="1"/>
  <c r="CX20" i="23"/>
  <c r="CX57" i="23" s="1"/>
  <c r="CT59" i="23"/>
  <c r="CT28" i="23"/>
  <c r="CP59" i="23"/>
  <c r="CP28" i="23"/>
  <c r="CL59" i="23"/>
  <c r="CL28" i="23"/>
  <c r="CL29" i="23" s="1"/>
  <c r="CL20" i="23"/>
  <c r="CL57" i="23" s="1"/>
  <c r="CH59" i="23"/>
  <c r="CH28" i="23"/>
  <c r="CD59" i="23"/>
  <c r="CD28" i="23"/>
  <c r="BZ59" i="23"/>
  <c r="BZ20" i="23"/>
  <c r="BZ57" i="23" s="1"/>
  <c r="BZ28" i="23"/>
  <c r="BZ29" i="23" s="1"/>
  <c r="BV59" i="23"/>
  <c r="BV28" i="23"/>
  <c r="BV29" i="23" s="1"/>
  <c r="BV20" i="23"/>
  <c r="BR59" i="23"/>
  <c r="BR20" i="23"/>
  <c r="BR57" i="23" s="1"/>
  <c r="BR28" i="23"/>
  <c r="BR29" i="23" s="1"/>
  <c r="BN59" i="23"/>
  <c r="BN28" i="23"/>
  <c r="BN29" i="23" s="1"/>
  <c r="BN20" i="23"/>
  <c r="BN57" i="23" s="1"/>
  <c r="BJ59" i="23"/>
  <c r="BJ28" i="23"/>
  <c r="BF59" i="23"/>
  <c r="BF28" i="23"/>
  <c r="BF29" i="23" s="1"/>
  <c r="BF20" i="23"/>
  <c r="BF57" i="23" s="1"/>
  <c r="BB59" i="23"/>
  <c r="BB20" i="23"/>
  <c r="BB57" i="23" s="1"/>
  <c r="BB28" i="23"/>
  <c r="BB29" i="23" s="1"/>
  <c r="AX59" i="23"/>
  <c r="AX20" i="23"/>
  <c r="AX57" i="23" s="1"/>
  <c r="AX28" i="23"/>
  <c r="AX29" i="23" s="1"/>
  <c r="AT59" i="23"/>
  <c r="AP59" i="23"/>
  <c r="AP28" i="23"/>
  <c r="AP29" i="23" s="1"/>
  <c r="AP20" i="23"/>
  <c r="AP57" i="23" s="1"/>
  <c r="AL59" i="23"/>
  <c r="AL28" i="23"/>
  <c r="AL29" i="23" s="1"/>
  <c r="AL20" i="23"/>
  <c r="AL57" i="23" s="1"/>
  <c r="AG59" i="23"/>
  <c r="AG20" i="23"/>
  <c r="AG57" i="23" s="1"/>
  <c r="AG28" i="23"/>
  <c r="AG29" i="23" s="1"/>
  <c r="AC59" i="23"/>
  <c r="AC28" i="23"/>
  <c r="AC29" i="23" s="1"/>
  <c r="AC20" i="23"/>
  <c r="AC57" i="23" s="1"/>
  <c r="Y59" i="23"/>
  <c r="U59" i="23"/>
  <c r="U28" i="23"/>
  <c r="U29" i="23" s="1"/>
  <c r="U20" i="23"/>
  <c r="U57" i="23" s="1"/>
  <c r="Q59" i="23"/>
  <c r="M59" i="23"/>
  <c r="M28" i="23"/>
  <c r="M29" i="23" s="1"/>
  <c r="M20" i="23"/>
  <c r="M57" i="23" s="1"/>
  <c r="I59" i="23"/>
  <c r="I28" i="23"/>
  <c r="I29" i="23" s="1"/>
  <c r="I20" i="23"/>
  <c r="I57" i="23" s="1"/>
  <c r="MX20" i="23"/>
  <c r="MX57" i="23" s="1"/>
  <c r="MP20" i="23"/>
  <c r="MP57" i="23" s="1"/>
  <c r="LZ20" i="23"/>
  <c r="LZ57" i="23" s="1"/>
  <c r="LJ20" i="23"/>
  <c r="LJ57" i="23" s="1"/>
  <c r="LB20" i="23"/>
  <c r="LB57" i="23" s="1"/>
  <c r="KJ20" i="23"/>
  <c r="KJ57" i="23" s="1"/>
  <c r="JS20" i="23"/>
  <c r="JS57" i="23" s="1"/>
  <c r="JC20" i="23"/>
  <c r="JC57" i="23" s="1"/>
  <c r="IM20" i="23"/>
  <c r="IM57" i="23" s="1"/>
  <c r="HW20" i="23"/>
  <c r="HW57" i="23" s="1"/>
  <c r="F49" i="34"/>
  <c r="L49" i="73"/>
  <c r="AD47" i="37"/>
  <c r="F30" i="37"/>
  <c r="Z21" i="37"/>
  <c r="V21" i="37"/>
  <c r="R21" i="37"/>
  <c r="I49" i="37"/>
  <c r="AT20" i="34"/>
  <c r="AT19" i="34"/>
  <c r="AT15" i="34"/>
  <c r="AT11" i="34"/>
  <c r="AG17" i="73"/>
  <c r="I32" i="43"/>
  <c r="KV20" i="23"/>
  <c r="KB61" i="23"/>
  <c r="MU20" i="23"/>
  <c r="MU57" i="23" s="1"/>
  <c r="MM20" i="23"/>
  <c r="MM57" i="23" s="1"/>
  <c r="LW20" i="23"/>
  <c r="LW57" i="23" s="1"/>
  <c r="LO20" i="23"/>
  <c r="LO57" i="23" s="1"/>
  <c r="KX20" i="23"/>
  <c r="KX57" i="23" s="1"/>
  <c r="KF20" i="23"/>
  <c r="KF57" i="23" s="1"/>
  <c r="JO20" i="23"/>
  <c r="IY20" i="23"/>
  <c r="IY57" i="23" s="1"/>
  <c r="II20" i="23"/>
  <c r="II57" i="23" s="1"/>
  <c r="HS20" i="23"/>
  <c r="HS57" i="23" s="1"/>
  <c r="GG20" i="23"/>
  <c r="GG57" i="23" s="1"/>
  <c r="AU29" i="23"/>
  <c r="NB27" i="23"/>
  <c r="MU28" i="23"/>
  <c r="MU29" i="23" s="1"/>
  <c r="LO28" i="23"/>
  <c r="LO29" i="23" s="1"/>
  <c r="KY28" i="23"/>
  <c r="KY29" i="23" s="1"/>
  <c r="KA28" i="23"/>
  <c r="KA29" i="23" s="1"/>
  <c r="JS28" i="23"/>
  <c r="JS29" i="23" s="1"/>
  <c r="IQ28" i="23"/>
  <c r="IQ29" i="23" s="1"/>
  <c r="GG28" i="23"/>
  <c r="GG29" i="23" s="1"/>
  <c r="FM28" i="23"/>
  <c r="FM29" i="23" s="1"/>
  <c r="FE28" i="23"/>
  <c r="EK28" i="23"/>
  <c r="EK29" i="23" s="1"/>
  <c r="DI28" i="23"/>
  <c r="CO28" i="23"/>
  <c r="CO29" i="23" s="1"/>
  <c r="BM28" i="23"/>
  <c r="BM29" i="23" s="1"/>
  <c r="KU28" i="23"/>
  <c r="KU29" i="23" s="1"/>
  <c r="KU59" i="23"/>
  <c r="KE59" i="23"/>
  <c r="KE28" i="23"/>
  <c r="KE29" i="23" s="1"/>
  <c r="JO59" i="23"/>
  <c r="JO28" i="23"/>
  <c r="JO29" i="23" s="1"/>
  <c r="IY59" i="23"/>
  <c r="IY28" i="23"/>
  <c r="IY29" i="23" s="1"/>
  <c r="IE59" i="23"/>
  <c r="IE28" i="23"/>
  <c r="IE29" i="23" s="1"/>
  <c r="IA59" i="23"/>
  <c r="IA28" i="23"/>
  <c r="IA29" i="23" s="1"/>
  <c r="HW59" i="23"/>
  <c r="HW28" i="23"/>
  <c r="HW29" i="23" s="1"/>
  <c r="HS59" i="23"/>
  <c r="HS28" i="23"/>
  <c r="HS29" i="23" s="1"/>
  <c r="HO59" i="23"/>
  <c r="HO28" i="23"/>
  <c r="HO29" i="23" s="1"/>
  <c r="HK59" i="23"/>
  <c r="HK28" i="23"/>
  <c r="HK29" i="23" s="1"/>
  <c r="HG59" i="23"/>
  <c r="HG28" i="23"/>
  <c r="GY59" i="23"/>
  <c r="GY28" i="23"/>
  <c r="GY29" i="23" s="1"/>
  <c r="GR59" i="23"/>
  <c r="GR28" i="23"/>
  <c r="GR29" i="23" s="1"/>
  <c r="FQ59" i="23"/>
  <c r="FQ28" i="23"/>
  <c r="FI59" i="23"/>
  <c r="FI28" i="23"/>
  <c r="FI29" i="23" s="1"/>
  <c r="EG59" i="23"/>
  <c r="EG28" i="23"/>
  <c r="EG29" i="23" s="1"/>
  <c r="DM59" i="23"/>
  <c r="DM28" i="23"/>
  <c r="DM29" i="23" s="1"/>
  <c r="CW59" i="23"/>
  <c r="CW28" i="23"/>
  <c r="CG59" i="23"/>
  <c r="CG28" i="23"/>
  <c r="CC59" i="23"/>
  <c r="CC28" i="23"/>
  <c r="CC29" i="23" s="1"/>
  <c r="BU59" i="23"/>
  <c r="BU28" i="23"/>
  <c r="BQ59" i="23"/>
  <c r="BQ28" i="23"/>
  <c r="BQ29" i="23" s="1"/>
  <c r="BA59" i="23"/>
  <c r="BA28" i="23"/>
  <c r="AS59" i="23"/>
  <c r="AS28" i="23"/>
  <c r="AS29" i="23" s="1"/>
  <c r="AK59" i="23"/>
  <c r="AK28" i="23"/>
  <c r="AK29" i="23" s="1"/>
  <c r="AB59" i="23"/>
  <c r="AB28" i="23"/>
  <c r="AB29" i="23" s="1"/>
  <c r="X59" i="23"/>
  <c r="X28" i="23"/>
  <c r="X29" i="23" s="1"/>
  <c r="KQ20" i="23"/>
  <c r="KQ57" i="23" s="1"/>
  <c r="KM20" i="23"/>
  <c r="KM57" i="23" s="1"/>
  <c r="KI20" i="23"/>
  <c r="KI57" i="23" s="1"/>
  <c r="KE20" i="23"/>
  <c r="KE57" i="23" s="1"/>
  <c r="KA20" i="23"/>
  <c r="KA57" i="23" s="1"/>
  <c r="JW20" i="23"/>
  <c r="AA20" i="23"/>
  <c r="AA57" i="23" s="1"/>
  <c r="K20" i="23"/>
  <c r="K57" i="23" s="1"/>
  <c r="LV29" i="23"/>
  <c r="MI28" i="23"/>
  <c r="MI29" i="23" s="1"/>
  <c r="KM28" i="23"/>
  <c r="KM29" i="23" s="1"/>
  <c r="JK28" i="23"/>
  <c r="JK29" i="23" s="1"/>
  <c r="JC28" i="23"/>
  <c r="JC29" i="23" s="1"/>
  <c r="HC28" i="23"/>
  <c r="GC28" i="23"/>
  <c r="GC29" i="23" s="1"/>
  <c r="FU28" i="23"/>
  <c r="FU29" i="23" s="1"/>
  <c r="FA28" i="23"/>
  <c r="DY28" i="23"/>
  <c r="DY29" i="23" s="1"/>
  <c r="AF28" i="23"/>
  <c r="L28" i="23"/>
  <c r="L29" i="23" s="1"/>
  <c r="FD59" i="23"/>
  <c r="FD28" i="23"/>
  <c r="FD29" i="23" s="1"/>
  <c r="EZ59" i="23"/>
  <c r="EZ28" i="23"/>
  <c r="EZ29" i="23" s="1"/>
  <c r="EV59" i="23"/>
  <c r="EV28" i="23"/>
  <c r="EN59" i="23"/>
  <c r="EN28" i="23"/>
  <c r="EN29" i="23" s="1"/>
  <c r="EJ59" i="23"/>
  <c r="EJ28" i="23"/>
  <c r="EF59" i="23"/>
  <c r="EF28" i="23"/>
  <c r="EF29" i="23" s="1"/>
  <c r="EB59" i="23"/>
  <c r="EB28" i="23"/>
  <c r="EB29" i="23" s="1"/>
  <c r="DX59" i="23"/>
  <c r="DX28" i="23"/>
  <c r="DT59" i="23"/>
  <c r="DT28" i="23"/>
  <c r="DT29" i="23" s="1"/>
  <c r="DP59" i="23"/>
  <c r="DP28" i="23"/>
  <c r="DP29" i="23" s="1"/>
  <c r="DL59" i="23"/>
  <c r="DL28" i="23"/>
  <c r="DL29" i="23" s="1"/>
  <c r="DD59" i="23"/>
  <c r="DD28" i="23"/>
  <c r="DD29" i="23" s="1"/>
  <c r="CZ59" i="23"/>
  <c r="CZ28" i="23"/>
  <c r="CV59" i="23"/>
  <c r="CV28" i="23"/>
  <c r="CR59" i="23"/>
  <c r="CR28" i="23"/>
  <c r="CR29" i="23" s="1"/>
  <c r="CN59" i="23"/>
  <c r="CN28" i="23"/>
  <c r="CF59" i="23"/>
  <c r="CF28" i="23"/>
  <c r="CF29" i="23" s="1"/>
  <c r="BX59" i="23"/>
  <c r="BX28" i="23"/>
  <c r="BT59" i="23"/>
  <c r="BT28" i="23"/>
  <c r="BT29" i="23" s="1"/>
  <c r="BP59" i="23"/>
  <c r="BP28" i="23"/>
  <c r="BP29" i="23" s="1"/>
  <c r="BL59" i="23"/>
  <c r="BL28" i="23"/>
  <c r="BL29" i="23" s="1"/>
  <c r="BH59" i="23"/>
  <c r="BH28" i="23"/>
  <c r="BH29" i="23" s="1"/>
  <c r="BD59" i="23"/>
  <c r="BD28" i="23"/>
  <c r="AV59" i="23"/>
  <c r="AV28" i="23"/>
  <c r="AV29" i="23" s="1"/>
  <c r="AR59" i="23"/>
  <c r="AR28" i="23"/>
  <c r="AR29" i="23" s="1"/>
  <c r="AN59" i="23"/>
  <c r="AN28" i="23"/>
  <c r="AN29" i="23" s="1"/>
  <c r="AJ28" i="23"/>
  <c r="AJ29" i="23" s="1"/>
  <c r="AJ59" i="23"/>
  <c r="NB18" i="23"/>
  <c r="O59" i="23"/>
  <c r="O28" i="23"/>
  <c r="KK29" i="23"/>
  <c r="HQ29" i="23"/>
  <c r="MM28" i="23"/>
  <c r="MM29" i="23" s="1"/>
  <c r="LW28" i="23"/>
  <c r="LW29" i="23" s="1"/>
  <c r="JW28" i="23"/>
  <c r="JW29" i="23" s="1"/>
  <c r="IU28" i="23"/>
  <c r="IM28" i="23"/>
  <c r="IM29" i="23" s="1"/>
  <c r="CK28" i="23"/>
  <c r="BI28" i="23"/>
  <c r="AO28" i="23"/>
  <c r="AO29" i="23" s="1"/>
  <c r="AE28" i="23"/>
  <c r="T28" i="23"/>
  <c r="T29" i="23" s="1"/>
  <c r="K28" i="23"/>
  <c r="K29" i="23" s="1"/>
  <c r="NB21" i="23"/>
  <c r="HT29" i="23"/>
  <c r="LK28" i="23"/>
  <c r="LK29" i="23" s="1"/>
  <c r="KQ28" i="23"/>
  <c r="KQ29" i="23" s="1"/>
  <c r="KI28" i="23"/>
  <c r="KI29" i="23" s="1"/>
  <c r="EW28" i="23"/>
  <c r="EW29" i="23" s="1"/>
  <c r="DU28" i="23"/>
  <c r="DU29" i="23" s="1"/>
  <c r="DA28" i="23"/>
  <c r="DA29" i="23" s="1"/>
  <c r="BY28" i="23"/>
  <c r="BE28" i="23"/>
  <c r="BE29" i="23" s="1"/>
  <c r="AW28" i="23"/>
  <c r="AW29" i="23" s="1"/>
  <c r="AA28" i="23"/>
  <c r="AA29" i="23" s="1"/>
  <c r="F48" i="23"/>
  <c r="AV29" i="105"/>
  <c r="AN29" i="105"/>
  <c r="T29" i="105"/>
  <c r="LG48" i="23"/>
  <c r="LC48" i="23"/>
  <c r="KY48" i="23"/>
  <c r="KU48" i="23"/>
  <c r="KQ48" i="23"/>
  <c r="KM48" i="23"/>
  <c r="KI48" i="23"/>
  <c r="KE48" i="23"/>
  <c r="KA48" i="23"/>
  <c r="JW48" i="23"/>
  <c r="JS48" i="23"/>
  <c r="JO48" i="23"/>
  <c r="BL29" i="105"/>
  <c r="EA18" i="105"/>
  <c r="F28" i="105"/>
  <c r="F29" i="105" s="1"/>
  <c r="CR29" i="105"/>
  <c r="CF29" i="105"/>
  <c r="BQ29" i="105"/>
  <c r="AD29" i="105"/>
  <c r="H29" i="105"/>
  <c r="BK28" i="105"/>
  <c r="BK29" i="105" s="1"/>
  <c r="EQ48" i="23"/>
  <c r="NB47" i="23"/>
  <c r="AY20" i="105"/>
  <c r="AY58" i="105" s="1"/>
  <c r="AU20" i="105"/>
  <c r="AU58" i="105" s="1"/>
  <c r="DH20" i="105"/>
  <c r="DH58" i="105" s="1"/>
  <c r="DD20" i="105"/>
  <c r="DD58" i="105" s="1"/>
  <c r="BT29" i="105"/>
  <c r="U28" i="105"/>
  <c r="U29" i="105" s="1"/>
  <c r="DD48" i="105"/>
  <c r="EA47" i="105"/>
  <c r="AS48" i="105"/>
  <c r="AP20" i="105"/>
  <c r="AP58" i="105" s="1"/>
  <c r="AL20" i="105"/>
  <c r="AL58" i="105" s="1"/>
  <c r="AH20" i="105"/>
  <c r="AH58" i="105" s="1"/>
  <c r="AD20" i="105"/>
  <c r="AD58" i="105" s="1"/>
  <c r="Z20" i="105"/>
  <c r="Z58" i="105" s="1"/>
  <c r="R20" i="105"/>
  <c r="R58" i="105" s="1"/>
  <c r="N20" i="105"/>
  <c r="N58" i="105" s="1"/>
  <c r="F20" i="105"/>
  <c r="EA12" i="105"/>
  <c r="EA21" i="105"/>
  <c r="DG29" i="105"/>
  <c r="DC29" i="105"/>
  <c r="AL29" i="105"/>
  <c r="AG29" i="105"/>
  <c r="Q29" i="105"/>
  <c r="BS28" i="105"/>
  <c r="BS29" i="105" s="1"/>
  <c r="CU48" i="105"/>
  <c r="CM48" i="105"/>
  <c r="CI48" i="105"/>
  <c r="DM47" i="105"/>
  <c r="EA13" i="105"/>
  <c r="DM13" i="105" s="1"/>
  <c r="CO27" i="105"/>
  <c r="CO29" i="105" s="1"/>
  <c r="I26" i="43"/>
  <c r="BU29" i="23"/>
  <c r="NB38" i="23"/>
  <c r="EG48" i="23"/>
  <c r="EC48" i="23"/>
  <c r="DY48" i="23"/>
  <c r="DU48" i="23"/>
  <c r="DQ48" i="23"/>
  <c r="NB46" i="23"/>
  <c r="MF48" i="23"/>
  <c r="LH48" i="23"/>
  <c r="DC20" i="105"/>
  <c r="DC58" i="105" s="1"/>
  <c r="CY20" i="105"/>
  <c r="CY58" i="105" s="1"/>
  <c r="BR20" i="105"/>
  <c r="BR58" i="105" s="1"/>
  <c r="AS28" i="105"/>
  <c r="EC28" i="105" s="1"/>
  <c r="DG20" i="105"/>
  <c r="DG58" i="105" s="1"/>
  <c r="AS20" i="105"/>
  <c r="BM29" i="105"/>
  <c r="BB29" i="105"/>
  <c r="Z29" i="105"/>
  <c r="O29" i="105"/>
  <c r="DD28" i="105"/>
  <c r="DD29" i="105" s="1"/>
  <c r="CK28" i="105"/>
  <c r="BR28" i="105"/>
  <c r="BR29" i="105" s="1"/>
  <c r="AC28" i="105"/>
  <c r="AC29" i="105" s="1"/>
  <c r="CD48" i="105"/>
  <c r="BZ48" i="105"/>
  <c r="BV48" i="105"/>
  <c r="BR48" i="105"/>
  <c r="BN48" i="105"/>
  <c r="BJ48" i="105"/>
  <c r="BF48" i="105"/>
  <c r="BB48" i="105"/>
  <c r="AX48" i="105"/>
  <c r="AT48" i="105"/>
  <c r="AP48" i="105"/>
  <c r="AL48" i="105"/>
  <c r="AH48" i="105"/>
  <c r="AD48" i="105"/>
  <c r="Z48" i="105"/>
  <c r="V48" i="105"/>
  <c r="R48" i="105"/>
  <c r="N48" i="105"/>
  <c r="J48" i="105"/>
  <c r="AP38" i="23"/>
  <c r="DM38" i="105" s="1"/>
  <c r="NB37" i="23"/>
  <c r="FI48" i="23"/>
  <c r="EK48" i="23"/>
  <c r="DM48" i="23"/>
  <c r="AJ48" i="23"/>
  <c r="DB20" i="105"/>
  <c r="DB58" i="105" s="1"/>
  <c r="CU20" i="105"/>
  <c r="CU58" i="105" s="1"/>
  <c r="BT20" i="105"/>
  <c r="BT58" i="105" s="1"/>
  <c r="AV20" i="105"/>
  <c r="AV58" i="105" s="1"/>
  <c r="AN20" i="105"/>
  <c r="AN58" i="105" s="1"/>
  <c r="AJ20" i="105"/>
  <c r="AJ58" i="105" s="1"/>
  <c r="AF20" i="105"/>
  <c r="AF58" i="105" s="1"/>
  <c r="X20" i="105"/>
  <c r="X58" i="105" s="1"/>
  <c r="T20" i="105"/>
  <c r="T58" i="105" s="1"/>
  <c r="L20" i="105"/>
  <c r="L58" i="105" s="1"/>
  <c r="H20" i="105"/>
  <c r="H58" i="105" s="1"/>
  <c r="AW20" i="105"/>
  <c r="AW58" i="105" s="1"/>
  <c r="DA29" i="105"/>
  <c r="CI29" i="105"/>
  <c r="CC29" i="105"/>
  <c r="BE29" i="105"/>
  <c r="AM29" i="105"/>
  <c r="X29" i="105"/>
  <c r="R29" i="105"/>
  <c r="L29" i="105"/>
  <c r="EA37" i="105"/>
  <c r="EA38" i="105"/>
  <c r="DA48" i="105"/>
  <c r="EA46" i="105"/>
  <c r="F48" i="105"/>
  <c r="DS58" i="105"/>
  <c r="DV32" i="105"/>
  <c r="DV14" i="105"/>
  <c r="DV39" i="105"/>
  <c r="DV22" i="105"/>
  <c r="DV49" i="105"/>
  <c r="KU20" i="23"/>
  <c r="BH29" i="105"/>
  <c r="DV19" i="105"/>
  <c r="BW29" i="105"/>
  <c r="BW20" i="105"/>
  <c r="BW58" i="105" s="1"/>
  <c r="MR29" i="23"/>
  <c r="DV10" i="105"/>
  <c r="EF10" i="105" s="1"/>
  <c r="DV9" i="105"/>
  <c r="DV17" i="105"/>
  <c r="DV16" i="105"/>
  <c r="DV31" i="105"/>
  <c r="DV30" i="105"/>
  <c r="DP37" i="105"/>
  <c r="DM46" i="105"/>
  <c r="AP48" i="23"/>
  <c r="DV33" i="105"/>
  <c r="DM37" i="105"/>
  <c r="DP46" i="105"/>
  <c r="DP47" i="105"/>
  <c r="I30" i="37"/>
  <c r="AD28" i="37"/>
  <c r="AD30" i="37" s="1"/>
  <c r="AD21" i="37"/>
  <c r="F21" i="37"/>
  <c r="I30" i="73"/>
  <c r="F28" i="73"/>
  <c r="AE28" i="73" s="1"/>
  <c r="F39" i="73"/>
  <c r="AA21" i="39"/>
  <c r="F21" i="39"/>
  <c r="AA47" i="39"/>
  <c r="AP29" i="34"/>
  <c r="AP28" i="34"/>
  <c r="AP38" i="34"/>
  <c r="AP47" i="34"/>
  <c r="AP39" i="34"/>
  <c r="I30" i="38"/>
  <c r="F28" i="38"/>
  <c r="F30" i="38" s="1"/>
  <c r="X38" i="38"/>
  <c r="X47" i="38"/>
  <c r="X48" i="38"/>
  <c r="F48" i="35"/>
  <c r="G48" i="35"/>
  <c r="H48" i="35"/>
  <c r="I48" i="35"/>
  <c r="J48" i="35"/>
  <c r="K48" i="35"/>
  <c r="L48" i="35"/>
  <c r="M48" i="35"/>
  <c r="N48" i="35"/>
  <c r="O48" i="35"/>
  <c r="S48" i="35"/>
  <c r="T48" i="35"/>
  <c r="U48" i="35"/>
  <c r="V48" i="35"/>
  <c r="W48" i="35"/>
  <c r="X48" i="35"/>
  <c r="Y48" i="35"/>
  <c r="Z48" i="35"/>
  <c r="AA48" i="35"/>
  <c r="F47" i="35"/>
  <c r="G47" i="35"/>
  <c r="H47" i="35"/>
  <c r="I47" i="35"/>
  <c r="J47" i="35"/>
  <c r="K47" i="35"/>
  <c r="L47" i="35"/>
  <c r="M47" i="35"/>
  <c r="O47" i="35"/>
  <c r="S47" i="35"/>
  <c r="T47" i="35"/>
  <c r="U47" i="35"/>
  <c r="V47" i="35"/>
  <c r="W47" i="35"/>
  <c r="X47" i="35"/>
  <c r="Y47" i="35"/>
  <c r="Z47" i="35"/>
  <c r="AA47" i="35"/>
  <c r="F39" i="35"/>
  <c r="G39" i="35"/>
  <c r="H39" i="35"/>
  <c r="I39" i="35"/>
  <c r="J39" i="35"/>
  <c r="K39" i="35"/>
  <c r="L39" i="35"/>
  <c r="M39" i="35"/>
  <c r="N39" i="35"/>
  <c r="O39" i="35"/>
  <c r="S39" i="35"/>
  <c r="T39" i="35"/>
  <c r="U39" i="35"/>
  <c r="V39" i="35"/>
  <c r="W39" i="35"/>
  <c r="X39" i="35"/>
  <c r="Y39" i="35"/>
  <c r="Z39" i="35"/>
  <c r="AA39" i="35"/>
  <c r="F38" i="35"/>
  <c r="G38" i="35"/>
  <c r="H38" i="35"/>
  <c r="I38" i="35"/>
  <c r="J38" i="35"/>
  <c r="K38" i="35"/>
  <c r="L38" i="35"/>
  <c r="M38" i="35"/>
  <c r="O38" i="35"/>
  <c r="S38" i="35"/>
  <c r="T38" i="35"/>
  <c r="U38" i="35"/>
  <c r="V38" i="35"/>
  <c r="W38" i="35"/>
  <c r="X38" i="35"/>
  <c r="Y38" i="35"/>
  <c r="Z38" i="35"/>
  <c r="AA38" i="35"/>
  <c r="F29" i="35"/>
  <c r="G29" i="35"/>
  <c r="H29" i="35"/>
  <c r="I29" i="35"/>
  <c r="J29" i="35"/>
  <c r="K29" i="35"/>
  <c r="L29" i="35"/>
  <c r="O29" i="35"/>
  <c r="S29" i="35"/>
  <c r="T29" i="35"/>
  <c r="U29" i="35"/>
  <c r="X29" i="35"/>
  <c r="Y29" i="35"/>
  <c r="Z29" i="35"/>
  <c r="AA29" i="35"/>
  <c r="F22" i="35"/>
  <c r="G22" i="35"/>
  <c r="H22" i="35"/>
  <c r="I22" i="35"/>
  <c r="J22" i="35"/>
  <c r="K22" i="35"/>
  <c r="L22" i="35"/>
  <c r="M22" i="35"/>
  <c r="N22" i="35"/>
  <c r="O22" i="35"/>
  <c r="S22" i="35"/>
  <c r="T22" i="35"/>
  <c r="U22" i="35"/>
  <c r="V22" i="35"/>
  <c r="W22" i="35"/>
  <c r="X22" i="35"/>
  <c r="Y22" i="35"/>
  <c r="Z22" i="35"/>
  <c r="AA22" i="35"/>
  <c r="F13" i="35"/>
  <c r="G13" i="35"/>
  <c r="H13" i="35"/>
  <c r="I13" i="35"/>
  <c r="I28" i="35" s="1"/>
  <c r="J13" i="35"/>
  <c r="J21" i="35" s="1"/>
  <c r="K13" i="35"/>
  <c r="L13" i="35"/>
  <c r="L28" i="35" s="1"/>
  <c r="M13" i="35"/>
  <c r="N13" i="35"/>
  <c r="O13" i="35"/>
  <c r="O21" i="35" s="1"/>
  <c r="S13" i="35"/>
  <c r="S28" i="35" s="1"/>
  <c r="T13" i="35"/>
  <c r="T28" i="35" s="1"/>
  <c r="U13" i="35"/>
  <c r="U21" i="35" s="1"/>
  <c r="V13" i="35"/>
  <c r="V28" i="35" s="1"/>
  <c r="W13" i="35"/>
  <c r="W28" i="35" s="1"/>
  <c r="X13" i="35"/>
  <c r="X28" i="35" s="1"/>
  <c r="Y13" i="35"/>
  <c r="Y21" i="35" s="1"/>
  <c r="Z13" i="35"/>
  <c r="Z21" i="35" s="1"/>
  <c r="AA13" i="35"/>
  <c r="AA28" i="35" s="1"/>
  <c r="F29" i="36"/>
  <c r="H29" i="36"/>
  <c r="I29" i="36"/>
  <c r="K29" i="36"/>
  <c r="L29" i="36"/>
  <c r="O29" i="36"/>
  <c r="P29" i="36"/>
  <c r="Q29" i="36"/>
  <c r="R29" i="36"/>
  <c r="F22" i="36"/>
  <c r="G22" i="36"/>
  <c r="H22" i="36"/>
  <c r="I22" i="36"/>
  <c r="J22" i="36"/>
  <c r="K22" i="36"/>
  <c r="L22" i="36"/>
  <c r="M22" i="36"/>
  <c r="N22" i="36"/>
  <c r="O22" i="36"/>
  <c r="P22" i="36"/>
  <c r="Q22" i="36"/>
  <c r="R22" i="36"/>
  <c r="F13" i="36"/>
  <c r="G13" i="36"/>
  <c r="H13" i="36"/>
  <c r="I13" i="36"/>
  <c r="I28" i="36" s="1"/>
  <c r="J13" i="36"/>
  <c r="K13" i="36"/>
  <c r="L13" i="36"/>
  <c r="L28" i="36" s="1"/>
  <c r="M13" i="36"/>
  <c r="N13" i="36"/>
  <c r="O13" i="36"/>
  <c r="O21" i="36" s="1"/>
  <c r="P13" i="36"/>
  <c r="P21" i="36" s="1"/>
  <c r="Q13" i="36"/>
  <c r="Q28" i="36" s="1"/>
  <c r="R13" i="36"/>
  <c r="U41" i="36"/>
  <c r="U42" i="36"/>
  <c r="U43" i="36"/>
  <c r="U44" i="36"/>
  <c r="U45" i="36"/>
  <c r="U46" i="36"/>
  <c r="U40" i="36"/>
  <c r="U32" i="36"/>
  <c r="U33" i="36"/>
  <c r="U34" i="36"/>
  <c r="U35" i="36"/>
  <c r="U36" i="36"/>
  <c r="U37" i="36"/>
  <c r="U31" i="36"/>
  <c r="U24" i="36"/>
  <c r="U25" i="36"/>
  <c r="U26" i="36"/>
  <c r="U27" i="36"/>
  <c r="U23" i="36"/>
  <c r="U15" i="36"/>
  <c r="U16" i="36"/>
  <c r="U17" i="36"/>
  <c r="U18" i="36"/>
  <c r="U19" i="36"/>
  <c r="U20" i="36"/>
  <c r="U14" i="36"/>
  <c r="U10" i="36"/>
  <c r="U11" i="36"/>
  <c r="U12" i="36"/>
  <c r="U9" i="36"/>
  <c r="F48" i="36"/>
  <c r="G48" i="36"/>
  <c r="H48" i="36"/>
  <c r="I48" i="36"/>
  <c r="J48" i="36"/>
  <c r="K48" i="36"/>
  <c r="L48" i="36"/>
  <c r="M48" i="36"/>
  <c r="N48" i="36"/>
  <c r="O48" i="36"/>
  <c r="P48" i="36"/>
  <c r="Q48" i="36"/>
  <c r="R48" i="36"/>
  <c r="F47" i="36"/>
  <c r="G47" i="36"/>
  <c r="I47" i="36"/>
  <c r="I49" i="36" s="1"/>
  <c r="J47" i="36"/>
  <c r="J49" i="36" s="1"/>
  <c r="L47" i="36"/>
  <c r="M47" i="36"/>
  <c r="O47" i="36"/>
  <c r="P47" i="36"/>
  <c r="R47" i="36"/>
  <c r="F39" i="36"/>
  <c r="G39" i="36"/>
  <c r="H39" i="36"/>
  <c r="I39" i="36"/>
  <c r="J39" i="36"/>
  <c r="K39" i="36"/>
  <c r="L39" i="36"/>
  <c r="M39" i="36"/>
  <c r="N39" i="36"/>
  <c r="O39" i="36"/>
  <c r="P39" i="36"/>
  <c r="Q39" i="36"/>
  <c r="R39" i="36"/>
  <c r="F38" i="36"/>
  <c r="G38" i="36"/>
  <c r="I38" i="36"/>
  <c r="J38" i="36"/>
  <c r="L38" i="36"/>
  <c r="M38" i="36"/>
  <c r="O38" i="36"/>
  <c r="P38" i="36"/>
  <c r="R38" i="36"/>
  <c r="AA32" i="74"/>
  <c r="AA33" i="74"/>
  <c r="AA34" i="74"/>
  <c r="AA35" i="74"/>
  <c r="AA36" i="74"/>
  <c r="AA37" i="74"/>
  <c r="AA40" i="74"/>
  <c r="AA41" i="74"/>
  <c r="AA42" i="74"/>
  <c r="AA43" i="74"/>
  <c r="AA44" i="74"/>
  <c r="AA45" i="74"/>
  <c r="AA46" i="74"/>
  <c r="AA31" i="74"/>
  <c r="AA25" i="74"/>
  <c r="AA26" i="74"/>
  <c r="AA27" i="74"/>
  <c r="AA24" i="74"/>
  <c r="AA23" i="74"/>
  <c r="AA20" i="74"/>
  <c r="AA19" i="74"/>
  <c r="AA18" i="74"/>
  <c r="AA17" i="74"/>
  <c r="AA15" i="74"/>
  <c r="AA14" i="74"/>
  <c r="AA16" i="74"/>
  <c r="AA12" i="74"/>
  <c r="AA11" i="74"/>
  <c r="AA10" i="74"/>
  <c r="AA9" i="74"/>
  <c r="F29" i="74"/>
  <c r="I29" i="74"/>
  <c r="K29" i="74"/>
  <c r="L29" i="74"/>
  <c r="M29" i="74"/>
  <c r="N29" i="74"/>
  <c r="O29" i="74"/>
  <c r="P29" i="74"/>
  <c r="Q29" i="74"/>
  <c r="R29" i="74"/>
  <c r="S29" i="74"/>
  <c r="T29" i="74"/>
  <c r="U29" i="74"/>
  <c r="V29" i="74"/>
  <c r="W29" i="74"/>
  <c r="X29" i="74"/>
  <c r="F22" i="74"/>
  <c r="G22" i="74"/>
  <c r="H22" i="74"/>
  <c r="I22" i="74"/>
  <c r="J22" i="74"/>
  <c r="K22" i="74"/>
  <c r="L22" i="74"/>
  <c r="M22" i="74"/>
  <c r="N22" i="74"/>
  <c r="O22" i="74"/>
  <c r="P22" i="74"/>
  <c r="Q22" i="74"/>
  <c r="R22" i="74"/>
  <c r="S22" i="74"/>
  <c r="T22" i="74"/>
  <c r="U22" i="74"/>
  <c r="V22" i="74"/>
  <c r="W22" i="74"/>
  <c r="X22" i="74"/>
  <c r="F13" i="74"/>
  <c r="F21" i="74" s="1"/>
  <c r="G13" i="74"/>
  <c r="H13" i="74"/>
  <c r="I13" i="74"/>
  <c r="I21" i="74" s="1"/>
  <c r="J13" i="74"/>
  <c r="K13" i="74"/>
  <c r="L13" i="74"/>
  <c r="L28" i="74" s="1"/>
  <c r="M13" i="74"/>
  <c r="N13" i="74"/>
  <c r="O13" i="74"/>
  <c r="O28" i="74" s="1"/>
  <c r="P13" i="74"/>
  <c r="P28" i="74" s="1"/>
  <c r="Q13" i="74"/>
  <c r="R13" i="74"/>
  <c r="R21" i="74" s="1"/>
  <c r="S13" i="74"/>
  <c r="S28" i="74" s="1"/>
  <c r="T13" i="74"/>
  <c r="U13" i="74"/>
  <c r="U28" i="74" s="1"/>
  <c r="V13" i="74"/>
  <c r="V21" i="74" s="1"/>
  <c r="W13" i="74"/>
  <c r="W28" i="74" s="1"/>
  <c r="X13" i="74"/>
  <c r="X28" i="74" s="1"/>
  <c r="F48" i="74"/>
  <c r="G48" i="74"/>
  <c r="H48" i="74"/>
  <c r="I48" i="74"/>
  <c r="J48" i="74"/>
  <c r="K48" i="74"/>
  <c r="L48" i="74"/>
  <c r="M48" i="74"/>
  <c r="N48" i="74"/>
  <c r="O48" i="74"/>
  <c r="P48" i="74"/>
  <c r="Q48" i="74"/>
  <c r="R48" i="74"/>
  <c r="S48" i="74"/>
  <c r="T48" i="74"/>
  <c r="U48" i="74"/>
  <c r="V48" i="74"/>
  <c r="W48" i="74"/>
  <c r="X48" i="74"/>
  <c r="F47" i="74"/>
  <c r="G47" i="74"/>
  <c r="I47" i="74"/>
  <c r="J47" i="74"/>
  <c r="K47" i="74"/>
  <c r="L47" i="74"/>
  <c r="M47" i="74"/>
  <c r="N47" i="74"/>
  <c r="O47" i="74"/>
  <c r="P47" i="74"/>
  <c r="Q47" i="74"/>
  <c r="R47" i="74"/>
  <c r="S47" i="74"/>
  <c r="T47" i="74"/>
  <c r="U47" i="74"/>
  <c r="V47" i="74"/>
  <c r="W47" i="74"/>
  <c r="X47" i="74"/>
  <c r="IS61" i="23" l="1"/>
  <c r="MS61" i="23"/>
  <c r="AA49" i="39"/>
  <c r="X21" i="38"/>
  <c r="BZ61" i="23"/>
  <c r="IZ61" i="23"/>
  <c r="LE61" i="23"/>
  <c r="BN61" i="23"/>
  <c r="DO38" i="105"/>
  <c r="FZ61" i="23"/>
  <c r="AD22" i="35"/>
  <c r="DV13" i="105"/>
  <c r="BF61" i="23"/>
  <c r="AD28" i="73"/>
  <c r="AE21" i="73"/>
  <c r="AD39" i="35"/>
  <c r="AD39" i="73"/>
  <c r="AE39" i="73"/>
  <c r="EC48" i="105"/>
  <c r="MZ38" i="23"/>
  <c r="F21" i="35"/>
  <c r="AD13" i="35"/>
  <c r="AD38" i="35"/>
  <c r="AD48" i="35"/>
  <c r="AD21" i="73"/>
  <c r="AD47" i="73"/>
  <c r="AG47" i="73" s="1"/>
  <c r="AD29" i="35"/>
  <c r="AD47" i="35"/>
  <c r="AQ49" i="34"/>
  <c r="EC20" i="105"/>
  <c r="EC58" i="105" s="1"/>
  <c r="HE61" i="23"/>
  <c r="GP61" i="23"/>
  <c r="CU61" i="23"/>
  <c r="MZ20" i="23"/>
  <c r="MZ28" i="23"/>
  <c r="F29" i="23"/>
  <c r="MZ48" i="23"/>
  <c r="IX61" i="23"/>
  <c r="KW61" i="23"/>
  <c r="AO61" i="23"/>
  <c r="DV38" i="105"/>
  <c r="EH61" i="23"/>
  <c r="FD61" i="23"/>
  <c r="FO61" i="23"/>
  <c r="HH61" i="23"/>
  <c r="JJ61" i="23"/>
  <c r="BP61" i="23"/>
  <c r="IT61" i="23"/>
  <c r="JR61" i="23"/>
  <c r="L49" i="35"/>
  <c r="F9" i="41"/>
  <c r="F8" i="43" s="1"/>
  <c r="FN61" i="23"/>
  <c r="HL61" i="23"/>
  <c r="JT61" i="23"/>
  <c r="AV61" i="23"/>
  <c r="HX61" i="23"/>
  <c r="X49" i="74"/>
  <c r="T49" i="74"/>
  <c r="P49" i="74"/>
  <c r="L49" i="74"/>
  <c r="R49" i="74"/>
  <c r="N49" i="74"/>
  <c r="W21" i="74"/>
  <c r="S21" i="74"/>
  <c r="GD61" i="23"/>
  <c r="IB61" i="23"/>
  <c r="KJ61" i="23"/>
  <c r="BG61" i="23"/>
  <c r="FW61" i="23"/>
  <c r="P28" i="36"/>
  <c r="P30" i="36" s="1"/>
  <c r="O21" i="74"/>
  <c r="F18" i="41"/>
  <c r="F17" i="43" s="1"/>
  <c r="O17" i="43" s="1"/>
  <c r="R49" i="36"/>
  <c r="L49" i="36"/>
  <c r="AA30" i="35"/>
  <c r="JX61" i="23"/>
  <c r="KZ61" i="23"/>
  <c r="LH29" i="23"/>
  <c r="R28" i="43"/>
  <c r="FS61" i="23"/>
  <c r="F49" i="73"/>
  <c r="IL61" i="23"/>
  <c r="AA30" i="39"/>
  <c r="P49" i="36"/>
  <c r="U28" i="35"/>
  <c r="FJ61" i="23"/>
  <c r="IJ61" i="23"/>
  <c r="LD61" i="23"/>
  <c r="AD49" i="37"/>
  <c r="LH57" i="23"/>
  <c r="DY58" i="105"/>
  <c r="R20" i="43"/>
  <c r="MO61" i="23"/>
  <c r="FL61" i="23"/>
  <c r="P48" i="43"/>
  <c r="R48" i="43"/>
  <c r="Q48" i="43"/>
  <c r="LV61" i="23"/>
  <c r="HO61" i="23"/>
  <c r="W30" i="74"/>
  <c r="S30" i="74"/>
  <c r="O30" i="74"/>
  <c r="P21" i="74"/>
  <c r="O49" i="36"/>
  <c r="M49" i="36"/>
  <c r="O28" i="36"/>
  <c r="J28" i="35"/>
  <c r="J30" i="35" s="1"/>
  <c r="Y49" i="35"/>
  <c r="U49" i="35"/>
  <c r="M49" i="35"/>
  <c r="I49" i="35"/>
  <c r="H49" i="35"/>
  <c r="IM61" i="23"/>
  <c r="U49" i="74"/>
  <c r="Q49" i="74"/>
  <c r="M49" i="74"/>
  <c r="I49" i="74"/>
  <c r="I28" i="74"/>
  <c r="I30" i="74" s="1"/>
  <c r="F46" i="41"/>
  <c r="O46" i="41" s="1"/>
  <c r="F42" i="41"/>
  <c r="O42" i="41" s="1"/>
  <c r="T30" i="35"/>
  <c r="DZ61" i="23"/>
  <c r="JD61" i="23"/>
  <c r="BO61" i="23"/>
  <c r="DO61" i="23"/>
  <c r="HM61" i="23"/>
  <c r="DD61" i="23"/>
  <c r="JV61" i="23"/>
  <c r="MX61" i="23"/>
  <c r="X30" i="74"/>
  <c r="S30" i="35"/>
  <c r="CI61" i="23"/>
  <c r="EQ61" i="23"/>
  <c r="GE61" i="23"/>
  <c r="IC61" i="23"/>
  <c r="N29" i="23"/>
  <c r="AR61" i="23"/>
  <c r="EB61" i="23"/>
  <c r="KL61" i="23"/>
  <c r="FU61" i="23"/>
  <c r="MC61" i="23"/>
  <c r="KP61" i="23"/>
  <c r="IW61" i="23"/>
  <c r="HN61" i="23"/>
  <c r="EE61" i="23"/>
  <c r="DY61" i="23"/>
  <c r="DA61" i="23"/>
  <c r="CL61" i="23"/>
  <c r="AG61" i="23"/>
  <c r="DM21" i="105"/>
  <c r="EA29" i="105"/>
  <c r="DR61" i="23"/>
  <c r="AG29" i="73"/>
  <c r="AG13" i="73"/>
  <c r="AG38" i="73"/>
  <c r="F43" i="41"/>
  <c r="F42" i="43" s="1"/>
  <c r="O42" i="43" s="1"/>
  <c r="BV57" i="23"/>
  <c r="BV61" i="23"/>
  <c r="LP57" i="23"/>
  <c r="LP61" i="23"/>
  <c r="MJ57" i="23"/>
  <c r="MJ61" i="23"/>
  <c r="JW57" i="23"/>
  <c r="JW61" i="23"/>
  <c r="JO57" i="23"/>
  <c r="JO61" i="23"/>
  <c r="LT61" i="23"/>
  <c r="EF57" i="23"/>
  <c r="EF61" i="23"/>
  <c r="GB57" i="23"/>
  <c r="GB61" i="23"/>
  <c r="GJ57" i="23"/>
  <c r="GJ61" i="23"/>
  <c r="KH57" i="23"/>
  <c r="KH61" i="23"/>
  <c r="KM61" i="23"/>
  <c r="U30" i="74"/>
  <c r="M28" i="74"/>
  <c r="M30" i="74" s="1"/>
  <c r="M21" i="74"/>
  <c r="X21" i="74"/>
  <c r="F49" i="36"/>
  <c r="L21" i="36"/>
  <c r="X30" i="35"/>
  <c r="I30" i="35"/>
  <c r="F27" i="41"/>
  <c r="O27" i="41" s="1"/>
  <c r="U30" i="35"/>
  <c r="AA49" i="35"/>
  <c r="W49" i="35"/>
  <c r="S49" i="35"/>
  <c r="K49" i="35"/>
  <c r="G49" i="35"/>
  <c r="AP61" i="23"/>
  <c r="GS61" i="23"/>
  <c r="KV57" i="23"/>
  <c r="KV61" i="23"/>
  <c r="MF61" i="23"/>
  <c r="GC61" i="23"/>
  <c r="AS49" i="34"/>
  <c r="L49" i="41" s="1"/>
  <c r="K21" i="35"/>
  <c r="K28" i="35"/>
  <c r="K30" i="35" s="1"/>
  <c r="Z28" i="35"/>
  <c r="Z30" i="35" s="1"/>
  <c r="IN57" i="23"/>
  <c r="IN61" i="23"/>
  <c r="G49" i="74"/>
  <c r="V49" i="74"/>
  <c r="J49" i="74"/>
  <c r="T28" i="74"/>
  <c r="T30" i="74" s="1"/>
  <c r="T21" i="74"/>
  <c r="P30" i="74"/>
  <c r="L30" i="74"/>
  <c r="L21" i="74"/>
  <c r="R28" i="74"/>
  <c r="R30" i="74" s="1"/>
  <c r="AA47" i="74"/>
  <c r="AA48" i="74"/>
  <c r="F19" i="41"/>
  <c r="O19" i="41" s="1"/>
  <c r="F44" i="41"/>
  <c r="F43" i="43" s="1"/>
  <c r="L30" i="35"/>
  <c r="O28" i="35"/>
  <c r="DV47" i="105"/>
  <c r="ED38" i="105"/>
  <c r="AX61" i="23"/>
  <c r="FV61" i="23"/>
  <c r="MV61" i="23"/>
  <c r="DJ57" i="23"/>
  <c r="DJ61" i="23"/>
  <c r="FF57" i="23"/>
  <c r="FF61" i="23"/>
  <c r="HT57" i="23"/>
  <c r="HT61" i="23"/>
  <c r="JL57" i="23"/>
  <c r="JL61" i="23"/>
  <c r="MN57" i="23"/>
  <c r="MN61" i="23"/>
  <c r="N57" i="23"/>
  <c r="N61" i="23"/>
  <c r="AD57" i="23"/>
  <c r="AD61" i="23"/>
  <c r="AY57" i="23"/>
  <c r="AY61" i="23"/>
  <c r="FC57" i="23"/>
  <c r="FC61" i="23"/>
  <c r="W49" i="74"/>
  <c r="S49" i="74"/>
  <c r="O49" i="74"/>
  <c r="K49" i="74"/>
  <c r="G49" i="36"/>
  <c r="F23" i="41"/>
  <c r="F22" i="43" s="1"/>
  <c r="O22" i="43" s="1"/>
  <c r="F35" i="41"/>
  <c r="O35" i="41" s="1"/>
  <c r="F40" i="41"/>
  <c r="F39" i="43" s="1"/>
  <c r="Q30" i="36"/>
  <c r="I30" i="36"/>
  <c r="Q21" i="36"/>
  <c r="I21" i="36"/>
  <c r="Y28" i="35"/>
  <c r="Y30" i="35" s="1"/>
  <c r="Z49" i="35"/>
  <c r="V49" i="35"/>
  <c r="J49" i="35"/>
  <c r="F49" i="35"/>
  <c r="T49" i="35"/>
  <c r="NB48" i="23"/>
  <c r="DP48" i="105"/>
  <c r="AU61" i="23"/>
  <c r="BW61" i="23"/>
  <c r="HU61" i="23"/>
  <c r="JI61" i="23"/>
  <c r="LM61" i="23"/>
  <c r="AB61" i="23"/>
  <c r="CF61" i="23"/>
  <c r="EN61" i="23"/>
  <c r="JF61" i="23"/>
  <c r="JZ61" i="23"/>
  <c r="LB61" i="23"/>
  <c r="AW61" i="23"/>
  <c r="BQ61" i="23"/>
  <c r="EK61" i="23"/>
  <c r="IE61" i="23"/>
  <c r="LK61" i="23"/>
  <c r="AS21" i="34"/>
  <c r="L21" i="41" s="1"/>
  <c r="AQ21" i="34"/>
  <c r="AQ28" i="34"/>
  <c r="DS61" i="23"/>
  <c r="T61" i="23"/>
  <c r="II61" i="23"/>
  <c r="KE61" i="23"/>
  <c r="MU61" i="23"/>
  <c r="R51" i="41"/>
  <c r="F32" i="41"/>
  <c r="F31" i="43" s="1"/>
  <c r="R21" i="36"/>
  <c r="R28" i="36"/>
  <c r="R30" i="36" s="1"/>
  <c r="F21" i="36"/>
  <c r="F28" i="36"/>
  <c r="F30" i="36" s="1"/>
  <c r="X21" i="35"/>
  <c r="F49" i="74"/>
  <c r="AA39" i="74"/>
  <c r="T21" i="35"/>
  <c r="KU57" i="23"/>
  <c r="KU61" i="23"/>
  <c r="U21" i="74"/>
  <c r="V28" i="74"/>
  <c r="V30" i="74" s="1"/>
  <c r="F28" i="74"/>
  <c r="F30" i="74" s="1"/>
  <c r="AA22" i="74"/>
  <c r="F14" i="41"/>
  <c r="O14" i="41" s="1"/>
  <c r="F34" i="41"/>
  <c r="F12" i="41"/>
  <c r="F11" i="43" s="1"/>
  <c r="F20" i="41"/>
  <c r="F19" i="43" s="1"/>
  <c r="O19" i="43" s="1"/>
  <c r="F16" i="41"/>
  <c r="F15" i="43" s="1"/>
  <c r="F26" i="41"/>
  <c r="F37" i="41"/>
  <c r="F33" i="41"/>
  <c r="U38" i="36"/>
  <c r="F45" i="41"/>
  <c r="F41" i="41"/>
  <c r="U22" i="36"/>
  <c r="O30" i="36"/>
  <c r="I21" i="35"/>
  <c r="I38" i="43"/>
  <c r="AS29" i="105"/>
  <c r="EC29" i="105" s="1"/>
  <c r="DM12" i="105"/>
  <c r="DM62" i="105" s="1"/>
  <c r="AA61" i="23"/>
  <c r="IY61" i="23"/>
  <c r="F11" i="41"/>
  <c r="L39" i="43"/>
  <c r="F25" i="41"/>
  <c r="AP49" i="34"/>
  <c r="AG39" i="73"/>
  <c r="EA48" i="105"/>
  <c r="EA20" i="105"/>
  <c r="EA58" i="105" s="1"/>
  <c r="F58" i="105"/>
  <c r="NB28" i="23"/>
  <c r="O29" i="23"/>
  <c r="NB29" i="23" s="1"/>
  <c r="DN61" i="23"/>
  <c r="DP12" i="105"/>
  <c r="DP62" i="105" s="1"/>
  <c r="BS61" i="23"/>
  <c r="DG61" i="23"/>
  <c r="DW61" i="23"/>
  <c r="EY61" i="23"/>
  <c r="HY61" i="23"/>
  <c r="KS61" i="23"/>
  <c r="LI61" i="23"/>
  <c r="LY61" i="23"/>
  <c r="F57" i="23"/>
  <c r="L61" i="23"/>
  <c r="BT61" i="23"/>
  <c r="DL61" i="23"/>
  <c r="U61" i="23"/>
  <c r="CC61" i="23"/>
  <c r="CO61" i="23"/>
  <c r="FM61" i="23"/>
  <c r="GR61" i="23"/>
  <c r="HS61" i="23"/>
  <c r="JC61" i="23"/>
  <c r="JS61" i="23"/>
  <c r="KI61" i="23"/>
  <c r="LO61" i="23"/>
  <c r="MI61" i="23"/>
  <c r="L13" i="41"/>
  <c r="AT13" i="34"/>
  <c r="F31" i="41"/>
  <c r="F30" i="43" s="1"/>
  <c r="O30" i="43" s="1"/>
  <c r="L22" i="41"/>
  <c r="AT22" i="34"/>
  <c r="F36" i="41"/>
  <c r="F35" i="43" s="1"/>
  <c r="AT29" i="34"/>
  <c r="L29" i="41"/>
  <c r="AQ30" i="34"/>
  <c r="L47" i="43"/>
  <c r="U48" i="36"/>
  <c r="U13" i="36"/>
  <c r="U21" i="36" s="1"/>
  <c r="AA21" i="35"/>
  <c r="S21" i="35"/>
  <c r="L21" i="35"/>
  <c r="AP30" i="34"/>
  <c r="AS58" i="105"/>
  <c r="EA28" i="105"/>
  <c r="DP21" i="105"/>
  <c r="MZ59" i="23"/>
  <c r="DM18" i="105"/>
  <c r="L35" i="43"/>
  <c r="F15" i="41"/>
  <c r="F14" i="43" s="1"/>
  <c r="O14" i="43" s="1"/>
  <c r="L39" i="41"/>
  <c r="L38" i="43" s="1"/>
  <c r="AT39" i="34"/>
  <c r="L23" i="43"/>
  <c r="AS30" i="34"/>
  <c r="U29" i="36"/>
  <c r="X49" i="35"/>
  <c r="X49" i="38"/>
  <c r="F30" i="73"/>
  <c r="AE30" i="73" s="1"/>
  <c r="EA27" i="105"/>
  <c r="DM27" i="105" s="1"/>
  <c r="BR61" i="23"/>
  <c r="DP27" i="105"/>
  <c r="ET61" i="23"/>
  <c r="IR61" i="23"/>
  <c r="LH61" i="23"/>
  <c r="AM61" i="23"/>
  <c r="GA61" i="23"/>
  <c r="KG61" i="23"/>
  <c r="MW61" i="23"/>
  <c r="DM28" i="105"/>
  <c r="X61" i="23"/>
  <c r="AJ61" i="23"/>
  <c r="BH61" i="23"/>
  <c r="DP61" i="23"/>
  <c r="FP61" i="23"/>
  <c r="HV61" i="23"/>
  <c r="LJ61" i="23"/>
  <c r="LZ61" i="23"/>
  <c r="MP61" i="23"/>
  <c r="I61" i="23"/>
  <c r="AK61" i="23"/>
  <c r="AS61" i="23"/>
  <c r="BM61" i="23"/>
  <c r="BU61" i="23"/>
  <c r="DU61" i="23"/>
  <c r="EG61" i="23"/>
  <c r="GY61" i="23"/>
  <c r="HW61" i="23"/>
  <c r="KY61" i="23"/>
  <c r="MM61" i="23"/>
  <c r="L31" i="43"/>
  <c r="F24" i="41"/>
  <c r="F23" i="43" s="1"/>
  <c r="O30" i="73"/>
  <c r="AF30" i="73" s="1"/>
  <c r="AF28" i="73"/>
  <c r="L47" i="41"/>
  <c r="AT47" i="34"/>
  <c r="L43" i="43"/>
  <c r="F17" i="41"/>
  <c r="AT48" i="34"/>
  <c r="DP18" i="105"/>
  <c r="I18" i="43" s="1"/>
  <c r="NB59" i="23"/>
  <c r="F61" i="23"/>
  <c r="R61" i="23"/>
  <c r="AL61" i="23"/>
  <c r="BB61" i="23"/>
  <c r="CX61" i="23"/>
  <c r="DV61" i="23"/>
  <c r="EX61" i="23"/>
  <c r="FR61" i="23"/>
  <c r="HP61" i="23"/>
  <c r="IF61" i="23"/>
  <c r="JP61" i="23"/>
  <c r="KF61" i="23"/>
  <c r="MR61" i="23"/>
  <c r="K61" i="23"/>
  <c r="AQ61" i="23"/>
  <c r="BK61" i="23"/>
  <c r="EI61" i="23"/>
  <c r="HQ61" i="23"/>
  <c r="IK61" i="23"/>
  <c r="JA61" i="23"/>
  <c r="JU61" i="23"/>
  <c r="KK61" i="23"/>
  <c r="LA61" i="23"/>
  <c r="LQ61" i="23"/>
  <c r="MG61" i="23"/>
  <c r="L8" i="43"/>
  <c r="AN61" i="23"/>
  <c r="BL61" i="23"/>
  <c r="CR61" i="23"/>
  <c r="DT61" i="23"/>
  <c r="EZ61" i="23"/>
  <c r="FX61" i="23"/>
  <c r="HB61" i="23"/>
  <c r="HZ61" i="23"/>
  <c r="KD61" i="23"/>
  <c r="KX61" i="23"/>
  <c r="LN61" i="23"/>
  <c r="NB20" i="23"/>
  <c r="NB61" i="23" s="1"/>
  <c r="O57" i="23"/>
  <c r="M61" i="23"/>
  <c r="AC61" i="23"/>
  <c r="BE61" i="23"/>
  <c r="DM61" i="23"/>
  <c r="EW61" i="23"/>
  <c r="FI61" i="23"/>
  <c r="GG61" i="23"/>
  <c r="HK61" i="23"/>
  <c r="IA61" i="23"/>
  <c r="IQ61" i="23"/>
  <c r="JK61" i="23"/>
  <c r="KA61" i="23"/>
  <c r="KQ61" i="23"/>
  <c r="LW61" i="23"/>
  <c r="L15" i="43"/>
  <c r="F10" i="41"/>
  <c r="L11" i="43"/>
  <c r="L38" i="41"/>
  <c r="AT38" i="34"/>
  <c r="AS28" i="34"/>
  <c r="DV37" i="105"/>
  <c r="DV46" i="105"/>
  <c r="O30" i="35"/>
  <c r="F28" i="35"/>
  <c r="F30" i="35" s="1"/>
  <c r="O49" i="35"/>
  <c r="L30" i="36"/>
  <c r="U47" i="36"/>
  <c r="U39" i="36"/>
  <c r="AA29" i="74"/>
  <c r="AA13" i="74"/>
  <c r="AA21" i="74" s="1"/>
  <c r="F38" i="74"/>
  <c r="G38" i="74"/>
  <c r="I38" i="74"/>
  <c r="J38" i="74"/>
  <c r="K38" i="74"/>
  <c r="L38" i="74"/>
  <c r="M38" i="74"/>
  <c r="N38" i="74"/>
  <c r="O38" i="74"/>
  <c r="P38" i="74"/>
  <c r="Q38" i="74"/>
  <c r="R38" i="74"/>
  <c r="S38" i="74"/>
  <c r="T38" i="74"/>
  <c r="U38" i="74"/>
  <c r="V38" i="74"/>
  <c r="W38" i="74"/>
  <c r="X38" i="74"/>
  <c r="BK27" i="40"/>
  <c r="BN27" i="40" s="1"/>
  <c r="BK26" i="40"/>
  <c r="BN26" i="40" s="1"/>
  <c r="BK25" i="40"/>
  <c r="BN25" i="40" s="1"/>
  <c r="BK24" i="40"/>
  <c r="BN24" i="40" s="1"/>
  <c r="BK23" i="40"/>
  <c r="BK20" i="40"/>
  <c r="BN20" i="40" s="1"/>
  <c r="BK19" i="40"/>
  <c r="BN19" i="40" s="1"/>
  <c r="BK18" i="40"/>
  <c r="BN18" i="40" s="1"/>
  <c r="BK17" i="40"/>
  <c r="BN17" i="40" s="1"/>
  <c r="BK16" i="40"/>
  <c r="BN16" i="40" s="1"/>
  <c r="BK15" i="40"/>
  <c r="BN15" i="40" s="1"/>
  <c r="BK14" i="40"/>
  <c r="BN14" i="40" s="1"/>
  <c r="BK12" i="40"/>
  <c r="BN12" i="40" s="1"/>
  <c r="BK11" i="40"/>
  <c r="BN11" i="40" s="1"/>
  <c r="BK10" i="40"/>
  <c r="BN10" i="40" s="1"/>
  <c r="BK9" i="40"/>
  <c r="BN9" i="40" s="1"/>
  <c r="F29" i="40"/>
  <c r="I29" i="40"/>
  <c r="K29" i="40"/>
  <c r="L29" i="40"/>
  <c r="N29" i="40"/>
  <c r="O29" i="40"/>
  <c r="Q29" i="40"/>
  <c r="R29" i="40"/>
  <c r="T29" i="40"/>
  <c r="U29" i="40"/>
  <c r="W29" i="40"/>
  <c r="X29" i="40"/>
  <c r="Z29" i="40"/>
  <c r="AA29" i="40"/>
  <c r="AC29" i="40"/>
  <c r="AD29" i="40"/>
  <c r="AF29" i="40"/>
  <c r="AG29" i="40"/>
  <c r="AI29" i="40"/>
  <c r="AJ29" i="40"/>
  <c r="AM29" i="40"/>
  <c r="AN29" i="40"/>
  <c r="AO29" i="40"/>
  <c r="AP29" i="40"/>
  <c r="AR29" i="40"/>
  <c r="AS29" i="40"/>
  <c r="AT29" i="40"/>
  <c r="AU29" i="40"/>
  <c r="AV29" i="40"/>
  <c r="AW29" i="40"/>
  <c r="AX29" i="40"/>
  <c r="AY29" i="40"/>
  <c r="AZ29" i="40"/>
  <c r="BA29" i="40"/>
  <c r="BB29" i="40"/>
  <c r="BC29" i="40"/>
  <c r="BD29" i="40"/>
  <c r="BE29" i="40"/>
  <c r="BF29" i="40"/>
  <c r="BG29" i="40"/>
  <c r="BH29" i="40"/>
  <c r="F22" i="40"/>
  <c r="G22" i="40"/>
  <c r="H22" i="40"/>
  <c r="I22" i="40"/>
  <c r="J22" i="40"/>
  <c r="K22" i="40"/>
  <c r="L22" i="40"/>
  <c r="M22" i="40"/>
  <c r="N22" i="40"/>
  <c r="O22" i="40"/>
  <c r="P22" i="40"/>
  <c r="Q22" i="40"/>
  <c r="R22" i="40"/>
  <c r="S22" i="40"/>
  <c r="T22" i="40"/>
  <c r="U22" i="40"/>
  <c r="V22" i="40"/>
  <c r="W22" i="40"/>
  <c r="X22" i="40"/>
  <c r="Y22" i="40"/>
  <c r="Z22" i="40"/>
  <c r="AA22" i="40"/>
  <c r="AB22" i="40"/>
  <c r="AC22" i="40"/>
  <c r="AD22" i="40"/>
  <c r="AE22" i="40"/>
  <c r="AF22" i="40"/>
  <c r="AG22" i="40"/>
  <c r="AH22" i="40"/>
  <c r="AI22" i="40"/>
  <c r="AJ22" i="40"/>
  <c r="AK22" i="40"/>
  <c r="AL22" i="40"/>
  <c r="AM22" i="40"/>
  <c r="AN22" i="40"/>
  <c r="AO22" i="40"/>
  <c r="AP22" i="40"/>
  <c r="AQ22" i="40"/>
  <c r="AR22" i="40"/>
  <c r="AS22" i="40"/>
  <c r="AT22" i="40"/>
  <c r="AU22" i="40"/>
  <c r="AV22" i="40"/>
  <c r="AW22" i="40"/>
  <c r="AX22" i="40"/>
  <c r="AY22" i="40"/>
  <c r="AZ22" i="40"/>
  <c r="BA22" i="40"/>
  <c r="BB22" i="40"/>
  <c r="BC22" i="40"/>
  <c r="BD22" i="40"/>
  <c r="BE22" i="40"/>
  <c r="BF22" i="40"/>
  <c r="BG22" i="40"/>
  <c r="BH22" i="40"/>
  <c r="F13" i="40"/>
  <c r="G13" i="40"/>
  <c r="H13" i="40"/>
  <c r="I13" i="40"/>
  <c r="I28" i="40" s="1"/>
  <c r="J13" i="40"/>
  <c r="K13" i="40"/>
  <c r="L13" i="40"/>
  <c r="L28" i="40" s="1"/>
  <c r="M13" i="40"/>
  <c r="M28" i="40" s="1"/>
  <c r="N13" i="40"/>
  <c r="O13" i="40"/>
  <c r="P13" i="40"/>
  <c r="P28" i="40" s="1"/>
  <c r="Q13" i="40"/>
  <c r="R13" i="40"/>
  <c r="R21" i="40" s="1"/>
  <c r="S13" i="40"/>
  <c r="T13" i="40"/>
  <c r="U13" i="40"/>
  <c r="U28" i="40" s="1"/>
  <c r="V13" i="40"/>
  <c r="W13" i="40"/>
  <c r="X13" i="40"/>
  <c r="X28" i="40" s="1"/>
  <c r="Y13" i="40"/>
  <c r="Z13" i="40"/>
  <c r="AA13" i="40"/>
  <c r="AA21" i="40" s="1"/>
  <c r="AB13" i="40"/>
  <c r="AC13" i="40"/>
  <c r="AD13" i="40"/>
  <c r="AD21" i="40" s="1"/>
  <c r="AE13" i="40"/>
  <c r="AF13" i="40"/>
  <c r="AG13" i="40"/>
  <c r="AG28" i="40" s="1"/>
  <c r="AH13" i="40"/>
  <c r="AI13" i="40"/>
  <c r="AJ13" i="40"/>
  <c r="AJ28" i="40" s="1"/>
  <c r="AK13" i="40"/>
  <c r="AL13" i="40"/>
  <c r="AM13" i="40"/>
  <c r="AM21" i="40" s="1"/>
  <c r="AN13" i="40"/>
  <c r="AO13" i="40"/>
  <c r="AP13" i="40"/>
  <c r="AP21" i="40" s="1"/>
  <c r="AQ13" i="40"/>
  <c r="AR13" i="40"/>
  <c r="AS13" i="40"/>
  <c r="AS28" i="40" s="1"/>
  <c r="AT13" i="40"/>
  <c r="AU13" i="40"/>
  <c r="AV13" i="40"/>
  <c r="AV28" i="40" s="1"/>
  <c r="AW13" i="40"/>
  <c r="AX13" i="40"/>
  <c r="AY13" i="40"/>
  <c r="AY28" i="40" s="1"/>
  <c r="AZ13" i="40"/>
  <c r="AZ28" i="40" s="1"/>
  <c r="BA13" i="40"/>
  <c r="BA28" i="40" s="1"/>
  <c r="BB13" i="40"/>
  <c r="BB21" i="40" s="1"/>
  <c r="BC13" i="40"/>
  <c r="BC21" i="40" s="1"/>
  <c r="BD13" i="40"/>
  <c r="BD28" i="40" s="1"/>
  <c r="BE13" i="40"/>
  <c r="BE28" i="40" s="1"/>
  <c r="BF13" i="40"/>
  <c r="BG13" i="40"/>
  <c r="BH13" i="40"/>
  <c r="BH28" i="40" s="1"/>
  <c r="AJ30" i="40" l="1"/>
  <c r="X30" i="40"/>
  <c r="L30" i="40"/>
  <c r="AD49" i="35"/>
  <c r="AD28" i="35"/>
  <c r="AD49" i="73"/>
  <c r="AE49" i="73"/>
  <c r="H13" i="41"/>
  <c r="H29" i="41"/>
  <c r="AD21" i="35"/>
  <c r="AA49" i="74"/>
  <c r="AD30" i="73"/>
  <c r="AG30" i="73" s="1"/>
  <c r="AD30" i="35"/>
  <c r="MZ29" i="23"/>
  <c r="DM29" i="105" s="1"/>
  <c r="F45" i="43"/>
  <c r="O45" i="43" s="1"/>
  <c r="O18" i="41"/>
  <c r="O40" i="41"/>
  <c r="F41" i="43"/>
  <c r="O41" i="43" s="1"/>
  <c r="AG21" i="73"/>
  <c r="BD30" i="40"/>
  <c r="AV30" i="40"/>
  <c r="U28" i="36"/>
  <c r="O39" i="43"/>
  <c r="U21" i="40"/>
  <c r="BH30" i="40"/>
  <c r="AZ30" i="40"/>
  <c r="BA21" i="40"/>
  <c r="Q16" i="41"/>
  <c r="R29" i="43"/>
  <c r="Q19" i="41"/>
  <c r="R19" i="41" s="1"/>
  <c r="BE21" i="40"/>
  <c r="AS21" i="40"/>
  <c r="Q12" i="41"/>
  <c r="DP29" i="105"/>
  <c r="DM20" i="105"/>
  <c r="DM58" i="105" s="1"/>
  <c r="AT21" i="34"/>
  <c r="AT49" i="34"/>
  <c r="F39" i="41"/>
  <c r="F38" i="43" s="1"/>
  <c r="O38" i="43" s="1"/>
  <c r="U58" i="43" s="1"/>
  <c r="O20" i="41"/>
  <c r="AG28" i="73"/>
  <c r="F34" i="43"/>
  <c r="O34" i="43" s="1"/>
  <c r="O44" i="41"/>
  <c r="O23" i="41"/>
  <c r="F26" i="43"/>
  <c r="O26" i="43" s="1"/>
  <c r="O43" i="41"/>
  <c r="EF35" i="105" s="1"/>
  <c r="AG49" i="73"/>
  <c r="U49" i="36"/>
  <c r="AV21" i="40"/>
  <c r="AY30" i="40"/>
  <c r="MZ57" i="23"/>
  <c r="L21" i="40"/>
  <c r="O43" i="43"/>
  <c r="X21" i="40"/>
  <c r="BD21" i="40"/>
  <c r="AJ21" i="40"/>
  <c r="DV27" i="105"/>
  <c r="Q25" i="41"/>
  <c r="BK13" i="40"/>
  <c r="Q13" i="41" s="1"/>
  <c r="BE30" i="40"/>
  <c r="BA30" i="40"/>
  <c r="AS30" i="40"/>
  <c r="AG30" i="40"/>
  <c r="I30" i="40"/>
  <c r="BH21" i="40"/>
  <c r="AZ21" i="40"/>
  <c r="AG21" i="40"/>
  <c r="I21" i="40"/>
  <c r="O32" i="41"/>
  <c r="F13" i="43"/>
  <c r="O13" i="43" s="1"/>
  <c r="O16" i="41"/>
  <c r="O12" i="41"/>
  <c r="O9" i="41"/>
  <c r="U9" i="41" s="1"/>
  <c r="O8" i="43"/>
  <c r="O36" i="41"/>
  <c r="O31" i="41"/>
  <c r="O35" i="43"/>
  <c r="O23" i="43"/>
  <c r="BM13" i="40"/>
  <c r="AM28" i="40"/>
  <c r="AM30" i="40" s="1"/>
  <c r="AA38" i="74"/>
  <c r="DV12" i="105"/>
  <c r="DV62" i="105" s="1"/>
  <c r="F44" i="43"/>
  <c r="O44" i="43" s="1"/>
  <c r="O45" i="41"/>
  <c r="O21" i="40"/>
  <c r="AP28" i="40"/>
  <c r="AP30" i="40" s="1"/>
  <c r="AD28" i="40"/>
  <c r="AD30" i="40" s="1"/>
  <c r="U30" i="36"/>
  <c r="L37" i="43"/>
  <c r="F9" i="43"/>
  <c r="O9" i="43" s="1"/>
  <c r="O10" i="41"/>
  <c r="U10" i="41" s="1"/>
  <c r="F16" i="43"/>
  <c r="O16" i="43" s="1"/>
  <c r="O17" i="41"/>
  <c r="L30" i="41"/>
  <c r="AT30" i="34"/>
  <c r="L28" i="43"/>
  <c r="Q14" i="41"/>
  <c r="R14" i="41" s="1"/>
  <c r="L59" i="41"/>
  <c r="L20" i="43"/>
  <c r="O15" i="43"/>
  <c r="O11" i="43"/>
  <c r="Q24" i="41"/>
  <c r="Q10" i="41"/>
  <c r="Q15" i="41"/>
  <c r="BC28" i="40"/>
  <c r="BC30" i="40" s="1"/>
  <c r="AA28" i="40"/>
  <c r="AA30" i="40" s="1"/>
  <c r="Q9" i="41"/>
  <c r="BL13" i="40"/>
  <c r="F13" i="41" s="1"/>
  <c r="F12" i="43" s="1"/>
  <c r="AY21" i="40"/>
  <c r="BB28" i="40"/>
  <c r="BB30" i="40" s="1"/>
  <c r="R28" i="40"/>
  <c r="R30" i="40" s="1"/>
  <c r="F28" i="40"/>
  <c r="BM29" i="40"/>
  <c r="F21" i="40"/>
  <c r="BL29" i="40"/>
  <c r="F29" i="41" s="1"/>
  <c r="F28" i="43" s="1"/>
  <c r="AA28" i="74"/>
  <c r="AA30" i="74" s="1"/>
  <c r="Q17" i="41"/>
  <c r="L46" i="43"/>
  <c r="O24" i="41"/>
  <c r="DV21" i="105"/>
  <c r="DP28" i="105"/>
  <c r="O15" i="41"/>
  <c r="F40" i="43"/>
  <c r="O40" i="43" s="1"/>
  <c r="O41" i="41"/>
  <c r="Q26" i="41"/>
  <c r="Q27" i="41"/>
  <c r="R27" i="41" s="1"/>
  <c r="O31" i="43"/>
  <c r="R58" i="43" s="1"/>
  <c r="Q11" i="41"/>
  <c r="BL22" i="40"/>
  <c r="F22" i="41" s="1"/>
  <c r="F21" i="43" s="1"/>
  <c r="O28" i="40"/>
  <c r="L12" i="43"/>
  <c r="F36" i="43"/>
  <c r="O36" i="43" s="1"/>
  <c r="O37" i="41"/>
  <c r="F33" i="43"/>
  <c r="O33" i="43" s="1"/>
  <c r="O34" i="41"/>
  <c r="Q18" i="41"/>
  <c r="R18" i="41" s="1"/>
  <c r="BK22" i="40"/>
  <c r="Q22" i="41" s="1"/>
  <c r="BM22" i="40"/>
  <c r="BN23" i="40"/>
  <c r="Q23" i="41"/>
  <c r="AT28" i="34"/>
  <c r="L28" i="41"/>
  <c r="L48" i="43"/>
  <c r="DP20" i="105"/>
  <c r="NB57" i="23"/>
  <c r="F18" i="43"/>
  <c r="O18" i="43" s="1"/>
  <c r="DV18" i="105"/>
  <c r="L21" i="43"/>
  <c r="F24" i="43"/>
  <c r="O24" i="43" s="1"/>
  <c r="O25" i="41"/>
  <c r="O11" i="41"/>
  <c r="U11" i="41" s="1"/>
  <c r="F10" i="43"/>
  <c r="O10" i="43" s="1"/>
  <c r="MZ61" i="23"/>
  <c r="F32" i="43"/>
  <c r="O32" i="43" s="1"/>
  <c r="O58" i="43" s="1"/>
  <c r="O33" i="41"/>
  <c r="F25" i="43"/>
  <c r="O25" i="43" s="1"/>
  <c r="O26" i="41"/>
  <c r="Q20" i="41"/>
  <c r="U30" i="40"/>
  <c r="BK29" i="40"/>
  <c r="Q29" i="41" s="1"/>
  <c r="BK46" i="40"/>
  <c r="BK45" i="40"/>
  <c r="BK44" i="40"/>
  <c r="BK43" i="40"/>
  <c r="BK42" i="40"/>
  <c r="BK41" i="40"/>
  <c r="BK40" i="40"/>
  <c r="BK37" i="40"/>
  <c r="BK36" i="40"/>
  <c r="BK35" i="40"/>
  <c r="BK34" i="40"/>
  <c r="BK33" i="40"/>
  <c r="BK32" i="40"/>
  <c r="BJ31" i="40"/>
  <c r="BK31" i="40"/>
  <c r="I38" i="40"/>
  <c r="J38" i="40"/>
  <c r="K38" i="40"/>
  <c r="L38" i="40"/>
  <c r="M38" i="40"/>
  <c r="N38" i="40"/>
  <c r="O38" i="40"/>
  <c r="P38" i="40"/>
  <c r="Q38" i="40"/>
  <c r="R38" i="40"/>
  <c r="S38" i="40"/>
  <c r="U38" i="40"/>
  <c r="V38" i="40"/>
  <c r="W38" i="40"/>
  <c r="X38" i="40"/>
  <c r="Y38" i="40"/>
  <c r="Z38" i="40"/>
  <c r="AA38" i="40"/>
  <c r="AB38" i="40"/>
  <c r="AC38" i="40"/>
  <c r="AD38" i="40"/>
  <c r="AE38" i="40"/>
  <c r="AF38" i="40"/>
  <c r="AG38" i="40"/>
  <c r="AH38" i="40"/>
  <c r="AI38" i="40"/>
  <c r="AK38" i="40"/>
  <c r="AL38" i="40"/>
  <c r="AM38" i="40"/>
  <c r="AN38" i="40"/>
  <c r="AP38" i="40"/>
  <c r="AQ38" i="40"/>
  <c r="AS38" i="40"/>
  <c r="AT38" i="40"/>
  <c r="AV38" i="40"/>
  <c r="AW38" i="40"/>
  <c r="AY38" i="40"/>
  <c r="AZ38" i="40"/>
  <c r="BB38" i="40"/>
  <c r="BC38" i="40"/>
  <c r="BD38" i="40"/>
  <c r="BE38" i="40"/>
  <c r="BF38" i="40"/>
  <c r="BG38" i="40"/>
  <c r="BH38" i="40"/>
  <c r="F48" i="40"/>
  <c r="G48" i="40"/>
  <c r="H48" i="40"/>
  <c r="I48" i="40"/>
  <c r="J48" i="40"/>
  <c r="K48" i="40"/>
  <c r="L48" i="40"/>
  <c r="M48" i="40"/>
  <c r="N48" i="40"/>
  <c r="O48" i="40"/>
  <c r="P48" i="40"/>
  <c r="Q48" i="40"/>
  <c r="R48" i="40"/>
  <c r="S48" i="40"/>
  <c r="T48" i="40"/>
  <c r="U48" i="40"/>
  <c r="V48" i="40"/>
  <c r="W48" i="40"/>
  <c r="X48" i="40"/>
  <c r="Y48" i="40"/>
  <c r="Z48" i="40"/>
  <c r="AA48" i="40"/>
  <c r="AB48" i="40"/>
  <c r="AC48" i="40"/>
  <c r="AD48" i="40"/>
  <c r="AE48" i="40"/>
  <c r="AF48" i="40"/>
  <c r="AG48" i="40"/>
  <c r="AH48" i="40"/>
  <c r="AI48" i="40"/>
  <c r="AJ48" i="40"/>
  <c r="AK48" i="40"/>
  <c r="AL48" i="40"/>
  <c r="AM48" i="40"/>
  <c r="AN48" i="40"/>
  <c r="AO48" i="40"/>
  <c r="AP48" i="40"/>
  <c r="AQ48" i="40"/>
  <c r="AR48" i="40"/>
  <c r="AS48" i="40"/>
  <c r="AT48" i="40"/>
  <c r="AU48" i="40"/>
  <c r="AV48" i="40"/>
  <c r="AW48" i="40"/>
  <c r="AX48" i="40"/>
  <c r="AY48" i="40"/>
  <c r="AZ48" i="40"/>
  <c r="BA48" i="40"/>
  <c r="BB48" i="40"/>
  <c r="BC48" i="40"/>
  <c r="BD48" i="40"/>
  <c r="BE48" i="40"/>
  <c r="BF48" i="40"/>
  <c r="BG48" i="40"/>
  <c r="BH48" i="40"/>
  <c r="F47" i="40"/>
  <c r="G47" i="40"/>
  <c r="I47" i="40"/>
  <c r="J47" i="40"/>
  <c r="K47" i="40"/>
  <c r="L47" i="40"/>
  <c r="M47" i="40"/>
  <c r="N47" i="40"/>
  <c r="O47" i="40"/>
  <c r="P47" i="40"/>
  <c r="Q47" i="40"/>
  <c r="R47" i="40"/>
  <c r="S47" i="40"/>
  <c r="U47" i="40"/>
  <c r="V47" i="40"/>
  <c r="W47" i="40"/>
  <c r="X47" i="40"/>
  <c r="Y47" i="40"/>
  <c r="Z47" i="40"/>
  <c r="AA47" i="40"/>
  <c r="AB47" i="40"/>
  <c r="AC47" i="40"/>
  <c r="AD47" i="40"/>
  <c r="AE47" i="40"/>
  <c r="AF47" i="40"/>
  <c r="AG47" i="40"/>
  <c r="AH47" i="40"/>
  <c r="AI47" i="40"/>
  <c r="AJ47" i="40"/>
  <c r="AK47" i="40"/>
  <c r="AL47" i="40"/>
  <c r="AM47" i="40"/>
  <c r="AN47" i="40"/>
  <c r="AP47" i="40"/>
  <c r="AP49" i="40" s="1"/>
  <c r="AQ47" i="40"/>
  <c r="AQ49" i="40" s="1"/>
  <c r="AS47" i="40"/>
  <c r="AT47" i="40"/>
  <c r="AV47" i="40"/>
  <c r="AW47" i="40"/>
  <c r="AY47" i="40"/>
  <c r="AZ47" i="40"/>
  <c r="BB47" i="40"/>
  <c r="BB49" i="40" s="1"/>
  <c r="BC47" i="40"/>
  <c r="BC49" i="40" s="1"/>
  <c r="BD47" i="40"/>
  <c r="BD49" i="40" s="1"/>
  <c r="BE47" i="40"/>
  <c r="BE49" i="40" s="1"/>
  <c r="BF47" i="40"/>
  <c r="BF49" i="40" s="1"/>
  <c r="BG47" i="40"/>
  <c r="BG49" i="40" s="1"/>
  <c r="BH47" i="40"/>
  <c r="BH49" i="40" s="1"/>
  <c r="R57" i="43" l="1"/>
  <c r="H47" i="41"/>
  <c r="R16" i="41"/>
  <c r="R20" i="41"/>
  <c r="AK49" i="40"/>
  <c r="AG49" i="40"/>
  <c r="AC49" i="40"/>
  <c r="Y49" i="40"/>
  <c r="U49" i="40"/>
  <c r="H38" i="41"/>
  <c r="H48" i="41"/>
  <c r="O39" i="41"/>
  <c r="R12" i="41"/>
  <c r="BK28" i="40"/>
  <c r="Q28" i="41" s="1"/>
  <c r="AY49" i="40"/>
  <c r="AS49" i="40"/>
  <c r="AM49" i="40"/>
  <c r="AI49" i="40"/>
  <c r="AE49" i="40"/>
  <c r="AA49" i="40"/>
  <c r="W49" i="40"/>
  <c r="R49" i="40"/>
  <c r="N49" i="40"/>
  <c r="J49" i="40"/>
  <c r="AW49" i="40"/>
  <c r="AL49" i="40"/>
  <c r="AH49" i="40"/>
  <c r="AD49" i="40"/>
  <c r="Z49" i="40"/>
  <c r="V49" i="40"/>
  <c r="Q49" i="40"/>
  <c r="M49" i="40"/>
  <c r="I49" i="40"/>
  <c r="K49" i="40"/>
  <c r="F49" i="40"/>
  <c r="R23" i="41"/>
  <c r="R25" i="41"/>
  <c r="BM21" i="40"/>
  <c r="I21" i="41" s="1"/>
  <c r="AV49" i="40"/>
  <c r="L49" i="40"/>
  <c r="BK21" i="40"/>
  <c r="Q21" i="41" s="1"/>
  <c r="BL21" i="40"/>
  <c r="F21" i="41" s="1"/>
  <c r="F59" i="41" s="1"/>
  <c r="P49" i="40"/>
  <c r="G49" i="40"/>
  <c r="AZ49" i="40"/>
  <c r="AT49" i="40"/>
  <c r="AN49" i="40"/>
  <c r="AJ49" i="40"/>
  <c r="AF49" i="40"/>
  <c r="AB49" i="40"/>
  <c r="X49" i="40"/>
  <c r="S49" i="40"/>
  <c r="R9" i="41"/>
  <c r="R10" i="41"/>
  <c r="R17" i="41"/>
  <c r="BN45" i="40"/>
  <c r="Q45" i="41"/>
  <c r="R45" i="41" s="1"/>
  <c r="DP58" i="105"/>
  <c r="BL28" i="40"/>
  <c r="F28" i="41" s="1"/>
  <c r="F27" i="43" s="1"/>
  <c r="F30" i="40"/>
  <c r="BL30" i="40" s="1"/>
  <c r="F30" i="41" s="1"/>
  <c r="F29" i="43" s="1"/>
  <c r="O49" i="40"/>
  <c r="BM47" i="40"/>
  <c r="BM48" i="40"/>
  <c r="BN32" i="40"/>
  <c r="Q32" i="41"/>
  <c r="R32" i="41" s="1"/>
  <c r="BN36" i="40"/>
  <c r="Q36" i="41"/>
  <c r="R36" i="41" s="1"/>
  <c r="BN42" i="40"/>
  <c r="Q42" i="41"/>
  <c r="R42" i="41" s="1"/>
  <c r="Q46" i="41"/>
  <c r="R46" i="41" s="1"/>
  <c r="BN46" i="40"/>
  <c r="O30" i="40"/>
  <c r="BM30" i="40" s="1"/>
  <c r="BM28" i="40"/>
  <c r="L29" i="43"/>
  <c r="I13" i="41"/>
  <c r="BN13" i="40"/>
  <c r="BK39" i="40"/>
  <c r="BN41" i="40"/>
  <c r="Q41" i="41"/>
  <c r="R41" i="41" s="1"/>
  <c r="BL47" i="40"/>
  <c r="F47" i="41" s="1"/>
  <c r="F46" i="43" s="1"/>
  <c r="BL48" i="40"/>
  <c r="F48" i="41" s="1"/>
  <c r="F47" i="43" s="1"/>
  <c r="BL38" i="40"/>
  <c r="F38" i="41" s="1"/>
  <c r="F37" i="43" s="1"/>
  <c r="BN33" i="40"/>
  <c r="Q33" i="41"/>
  <c r="R33" i="41" s="1"/>
  <c r="BN37" i="40"/>
  <c r="Q37" i="41"/>
  <c r="R37" i="41" s="1"/>
  <c r="BN43" i="40"/>
  <c r="Q43" i="41"/>
  <c r="R43" i="41" s="1"/>
  <c r="R26" i="41"/>
  <c r="R24" i="41"/>
  <c r="BM38" i="40"/>
  <c r="BN35" i="40"/>
  <c r="Q35" i="41"/>
  <c r="R35" i="41" s="1"/>
  <c r="BK47" i="40"/>
  <c r="Q47" i="41" s="1"/>
  <c r="BK48" i="40"/>
  <c r="Q48" i="41" s="1"/>
  <c r="BN31" i="40"/>
  <c r="Q31" i="41"/>
  <c r="R31" i="41" s="1"/>
  <c r="BN34" i="40"/>
  <c r="Q34" i="41"/>
  <c r="R34" i="41" s="1"/>
  <c r="BN40" i="40"/>
  <c r="Q40" i="41"/>
  <c r="R40" i="41" s="1"/>
  <c r="BN44" i="40"/>
  <c r="Q44" i="41"/>
  <c r="R44" i="41" s="1"/>
  <c r="L27" i="43"/>
  <c r="BN22" i="40"/>
  <c r="I22" i="41"/>
  <c r="R11" i="41"/>
  <c r="I29" i="41"/>
  <c r="O29" i="41" s="1"/>
  <c r="R29" i="41" s="1"/>
  <c r="BN29" i="40"/>
  <c r="R15" i="41"/>
  <c r="L72" i="43"/>
  <c r="BK38" i="40"/>
  <c r="Q38" i="41" s="1"/>
  <c r="F16" i="29"/>
  <c r="G7" i="28"/>
  <c r="G22" i="28" s="1"/>
  <c r="H49" i="41" l="1"/>
  <c r="BK30" i="40"/>
  <c r="Q30" i="41" s="1"/>
  <c r="BM49" i="40"/>
  <c r="BL49" i="40"/>
  <c r="F49" i="41" s="1"/>
  <c r="BK49" i="40"/>
  <c r="Q49" i="41" s="1"/>
  <c r="F20" i="43"/>
  <c r="F72" i="43" s="1"/>
  <c r="BN21" i="40"/>
  <c r="I59" i="41"/>
  <c r="O21" i="41"/>
  <c r="I28" i="41"/>
  <c r="BN28" i="40"/>
  <c r="I20" i="43"/>
  <c r="BN38" i="40"/>
  <c r="I38" i="41"/>
  <c r="I30" i="41"/>
  <c r="I21" i="43"/>
  <c r="O21" i="43" s="1"/>
  <c r="U57" i="43" s="1"/>
  <c r="O22" i="41"/>
  <c r="R22" i="41" s="1"/>
  <c r="Q39" i="41"/>
  <c r="R39" i="41" s="1"/>
  <c r="BN39" i="40"/>
  <c r="I49" i="41"/>
  <c r="I28" i="43"/>
  <c r="O28" i="43" s="1"/>
  <c r="O13" i="41"/>
  <c r="R13" i="41" s="1"/>
  <c r="I12" i="43"/>
  <c r="O12" i="43" s="1"/>
  <c r="O57" i="43" s="1"/>
  <c r="BN48" i="40"/>
  <c r="I48" i="41"/>
  <c r="BN47" i="40"/>
  <c r="I47" i="41"/>
  <c r="BN30" i="40" l="1"/>
  <c r="BN49" i="40"/>
  <c r="O20" i="43"/>
  <c r="O72" i="43" s="1"/>
  <c r="I47" i="43"/>
  <c r="O47" i="43" s="1"/>
  <c r="O48" i="41"/>
  <c r="R48" i="41" s="1"/>
  <c r="I37" i="43"/>
  <c r="O37" i="43" s="1"/>
  <c r="O38" i="41"/>
  <c r="I29" i="43"/>
  <c r="O29" i="43" s="1"/>
  <c r="O30" i="41"/>
  <c r="R30" i="41" s="1"/>
  <c r="I27" i="43"/>
  <c r="O27" i="43" s="1"/>
  <c r="O28" i="41"/>
  <c r="R28" i="41" s="1"/>
  <c r="I46" i="43"/>
  <c r="O46" i="43" s="1"/>
  <c r="O47" i="41"/>
  <c r="O59" i="41"/>
  <c r="R21" i="41"/>
  <c r="I48" i="43"/>
  <c r="O49" i="41"/>
  <c r="R49" i="41" s="1"/>
  <c r="I72" i="43"/>
  <c r="F16" i="118"/>
  <c r="H16" i="118"/>
  <c r="I16" i="118"/>
  <c r="K16" i="118"/>
  <c r="L16" i="118"/>
  <c r="N16" i="118"/>
  <c r="O16" i="118"/>
  <c r="Q16" i="118"/>
  <c r="R16" i="118"/>
  <c r="T16" i="118"/>
  <c r="U16" i="118"/>
  <c r="W16" i="118"/>
  <c r="X16" i="118"/>
  <c r="Z16" i="118"/>
  <c r="AA16" i="118"/>
  <c r="AC16" i="118"/>
  <c r="AF16" i="118"/>
  <c r="AG16" i="118"/>
  <c r="AI16" i="118"/>
  <c r="AJ16" i="118"/>
  <c r="AL16" i="118"/>
  <c r="E16" i="118"/>
  <c r="AO6" i="118"/>
  <c r="AO7" i="118"/>
  <c r="AO8" i="118"/>
  <c r="AP8" i="118"/>
  <c r="AO9" i="118"/>
  <c r="AP9" i="118"/>
  <c r="AO10" i="118"/>
  <c r="AP10" i="118"/>
  <c r="AO11" i="118"/>
  <c r="AP11" i="118"/>
  <c r="AO12" i="118"/>
  <c r="AP12" i="118"/>
  <c r="AO13" i="118"/>
  <c r="AP13" i="118"/>
  <c r="AO14" i="118"/>
  <c r="AP14" i="118"/>
  <c r="AO17" i="118"/>
  <c r="AO18" i="118"/>
  <c r="AP18" i="118"/>
  <c r="AO20" i="118"/>
  <c r="AP20" i="118"/>
  <c r="AO22" i="118"/>
  <c r="AP22" i="118"/>
  <c r="AO24" i="118"/>
  <c r="AP24" i="118"/>
  <c r="AO25" i="118"/>
  <c r="AP25" i="118"/>
  <c r="Z23" i="118"/>
  <c r="AA23" i="118"/>
  <c r="Z21" i="118"/>
  <c r="AA21" i="118"/>
  <c r="Z19" i="118"/>
  <c r="AA19" i="118"/>
  <c r="AP6" i="118"/>
  <c r="F6" i="101"/>
  <c r="E56" i="25"/>
  <c r="F56" i="25"/>
  <c r="AA15" i="118" l="1"/>
  <c r="Z15" i="118"/>
  <c r="Z28" i="118" s="1"/>
  <c r="R47" i="41"/>
  <c r="U51" i="41"/>
  <c r="R38" i="41"/>
  <c r="U50" i="41"/>
  <c r="Y26" i="43"/>
  <c r="AA28" i="118"/>
  <c r="DF37" i="105"/>
  <c r="AO5" i="118"/>
  <c r="AO16" i="118"/>
  <c r="H38" i="34"/>
  <c r="H47" i="34" l="1"/>
  <c r="F10" i="26"/>
  <c r="AI19" i="23"/>
  <c r="AI36" i="23"/>
  <c r="NA36" i="23" s="1"/>
  <c r="DO36" i="105" s="1"/>
  <c r="AJ10" i="26" l="1"/>
  <c r="F5" i="26"/>
  <c r="AI18" i="23"/>
  <c r="NA18" i="23" s="1"/>
  <c r="NA19" i="23"/>
  <c r="DL37" i="23"/>
  <c r="DL46" i="23"/>
  <c r="DL48" i="23" s="1"/>
  <c r="H47" i="38"/>
  <c r="H49" i="38" s="1"/>
  <c r="H38" i="38"/>
  <c r="AI37" i="23"/>
  <c r="AI47" i="23"/>
  <c r="DC37" i="105"/>
  <c r="DC46" i="105"/>
  <c r="KC28" i="23"/>
  <c r="AU47" i="40"/>
  <c r="AU49" i="40" s="1"/>
  <c r="AU38" i="40"/>
  <c r="AU28" i="40"/>
  <c r="AU30" i="40" s="1"/>
  <c r="AC11" i="34"/>
  <c r="AI20" i="23" l="1"/>
  <c r="AI28" i="23"/>
  <c r="AI29" i="23" s="1"/>
  <c r="AI59" i="23"/>
  <c r="AI48" i="23"/>
  <c r="AI57" i="23"/>
  <c r="DC48" i="105"/>
  <c r="AC28" i="34"/>
  <c r="T21" i="38"/>
  <c r="T28" i="38"/>
  <c r="T30" i="38" s="1"/>
  <c r="AI61" i="23"/>
  <c r="D57" i="25"/>
  <c r="CN27" i="23" l="1"/>
  <c r="CN29" i="23" s="1"/>
  <c r="CN20" i="23"/>
  <c r="CN57" i="23" s="1"/>
  <c r="EV27" i="23"/>
  <c r="EV29" i="23" s="1"/>
  <c r="EV20" i="23"/>
  <c r="EV57" i="23" s="1"/>
  <c r="CQ27" i="23"/>
  <c r="CQ29" i="23" s="1"/>
  <c r="CQ20" i="23"/>
  <c r="CQ57" i="23" s="1"/>
  <c r="H28" i="23"/>
  <c r="H29" i="23" s="1"/>
  <c r="H20" i="23"/>
  <c r="H57" i="23" s="1"/>
  <c r="H61" i="23" l="1"/>
  <c r="EV61" i="23"/>
  <c r="CQ61" i="23"/>
  <c r="CN61" i="23"/>
  <c r="T28" i="40" l="1"/>
  <c r="T30" i="40" s="1"/>
  <c r="T21" i="40"/>
  <c r="T47" i="39"/>
  <c r="T49" i="39" s="1"/>
  <c r="T38" i="39"/>
  <c r="IJ27" i="23"/>
  <c r="CZ10" i="105"/>
  <c r="EB10" i="105" s="1"/>
  <c r="CZ37" i="105" l="1"/>
  <c r="EB37" i="105" s="1"/>
  <c r="CZ46" i="105"/>
  <c r="EB46" i="105" s="1"/>
  <c r="BJ27" i="23"/>
  <c r="BJ29" i="23" s="1"/>
  <c r="BJ20" i="23"/>
  <c r="BJ57" i="23" s="1"/>
  <c r="CZ20" i="105"/>
  <c r="CZ58" i="105" s="1"/>
  <c r="CE27" i="23"/>
  <c r="CE29" i="23" s="1"/>
  <c r="CE20" i="23"/>
  <c r="CE57" i="23" s="1"/>
  <c r="JN28" i="23"/>
  <c r="JN29" i="23" s="1"/>
  <c r="JN20" i="23"/>
  <c r="JN57" i="23" s="1"/>
  <c r="CZ48" i="105" l="1"/>
  <c r="EB48" i="105" s="1"/>
  <c r="BJ61" i="23"/>
  <c r="CB27" i="23"/>
  <c r="JN61" i="23"/>
  <c r="CE61" i="23"/>
  <c r="FE10" i="23"/>
  <c r="AL17" i="40"/>
  <c r="AL29" i="40" s="1"/>
  <c r="FH28" i="23" l="1"/>
  <c r="FE27" i="23"/>
  <c r="FE29" i="23" s="1"/>
  <c r="FE20" i="23"/>
  <c r="FE57" i="23" s="1"/>
  <c r="R15" i="104"/>
  <c r="R14" i="104" s="1"/>
  <c r="H5" i="104"/>
  <c r="F15" i="104"/>
  <c r="F14" i="104" s="1"/>
  <c r="H15" i="104"/>
  <c r="H14" i="104" s="1"/>
  <c r="I15" i="104"/>
  <c r="I14" i="104" s="1"/>
  <c r="K15" i="104"/>
  <c r="K14" i="104" s="1"/>
  <c r="L15" i="104"/>
  <c r="L14" i="104" s="1"/>
  <c r="N15" i="104"/>
  <c r="N14" i="104" s="1"/>
  <c r="O15" i="104"/>
  <c r="O14" i="104" s="1"/>
  <c r="Q15" i="104"/>
  <c r="Q14" i="104" s="1"/>
  <c r="T15" i="104"/>
  <c r="T14" i="104" s="1"/>
  <c r="E15" i="104"/>
  <c r="E14" i="104" s="1"/>
  <c r="W6" i="104"/>
  <c r="W7" i="104"/>
  <c r="W8" i="104"/>
  <c r="W9" i="104"/>
  <c r="X9" i="104"/>
  <c r="W10" i="104"/>
  <c r="W11" i="104"/>
  <c r="X11" i="104"/>
  <c r="W12" i="104"/>
  <c r="W13" i="104"/>
  <c r="W16" i="104"/>
  <c r="X16" i="104"/>
  <c r="W17" i="104"/>
  <c r="X17" i="104"/>
  <c r="W18" i="104"/>
  <c r="X18" i="104"/>
  <c r="Q5" i="104"/>
  <c r="R5" i="104"/>
  <c r="K29" i="38"/>
  <c r="F94" i="101"/>
  <c r="W15" i="104" l="1"/>
  <c r="W14" i="104"/>
  <c r="R19" i="104"/>
  <c r="FE61" i="23"/>
  <c r="H47" i="73"/>
  <c r="H49" i="73" s="1"/>
  <c r="H38" i="73"/>
  <c r="IJ28" i="23"/>
  <c r="IJ29" i="23" s="1"/>
  <c r="IJ21" i="23"/>
  <c r="FH37" i="23"/>
  <c r="FH46" i="23"/>
  <c r="FH48" i="23" s="1"/>
  <c r="K47" i="73"/>
  <c r="K49" i="73" s="1"/>
  <c r="K38" i="73"/>
  <c r="Q19" i="104"/>
  <c r="ME10" i="23"/>
  <c r="ME17" i="23"/>
  <c r="MH17" i="23"/>
  <c r="ME28" i="23" l="1"/>
  <c r="ME20" i="23"/>
  <c r="ME57" i="23" s="1"/>
  <c r="MH28" i="23"/>
  <c r="MH29" i="23" s="1"/>
  <c r="MH20" i="23"/>
  <c r="MH57" i="23" s="1"/>
  <c r="ME27" i="23"/>
  <c r="ME29" i="23" s="1"/>
  <c r="W28" i="23"/>
  <c r="W29" i="23" s="1"/>
  <c r="W20" i="23"/>
  <c r="W57" i="23" s="1"/>
  <c r="N11" i="74"/>
  <c r="DF38" i="105"/>
  <c r="DF46" i="105" l="1"/>
  <c r="DF48" i="105" s="1"/>
  <c r="ME61" i="23"/>
  <c r="DF27" i="105"/>
  <c r="DF21" i="105"/>
  <c r="AF27" i="23"/>
  <c r="AF29" i="23" s="1"/>
  <c r="AF20" i="23"/>
  <c r="AF57" i="23" s="1"/>
  <c r="AX28" i="40"/>
  <c r="AX30" i="40" s="1"/>
  <c r="AX21" i="40"/>
  <c r="AL46" i="23"/>
  <c r="N21" i="74"/>
  <c r="N28" i="74"/>
  <c r="N30" i="74" s="1"/>
  <c r="H47" i="74"/>
  <c r="H49" i="74" s="1"/>
  <c r="H38" i="74"/>
  <c r="W61" i="23"/>
  <c r="MH61" i="23"/>
  <c r="AI9" i="40"/>
  <c r="AC9" i="40"/>
  <c r="Q9" i="40"/>
  <c r="K9" i="74"/>
  <c r="N9" i="36"/>
  <c r="K9" i="36"/>
  <c r="W9" i="34"/>
  <c r="N29" i="35"/>
  <c r="EA8" i="23"/>
  <c r="DF29" i="105" l="1"/>
  <c r="N28" i="37"/>
  <c r="N30" i="37" s="1"/>
  <c r="N21" i="37"/>
  <c r="AF61" i="23"/>
  <c r="EA27" i="23"/>
  <c r="EA29" i="23" s="1"/>
  <c r="EA20" i="23"/>
  <c r="EA57" i="23" s="1"/>
  <c r="W29" i="35"/>
  <c r="W30" i="35" s="1"/>
  <c r="W21" i="35"/>
  <c r="K28" i="37"/>
  <c r="K30" i="37" s="1"/>
  <c r="K21" i="37"/>
  <c r="BP12" i="105"/>
  <c r="BP27" i="105"/>
  <c r="BP29" i="105" s="1"/>
  <c r="BD27" i="23"/>
  <c r="BD29" i="23" s="1"/>
  <c r="BD20" i="23"/>
  <c r="BD57" i="23" s="1"/>
  <c r="D29" i="25"/>
  <c r="W10" i="34"/>
  <c r="H28" i="34"/>
  <c r="BP20" i="105" l="1"/>
  <c r="BP58" i="105" s="1"/>
  <c r="BP62" i="105"/>
  <c r="DC27" i="23"/>
  <c r="DC28" i="23"/>
  <c r="DC20" i="23"/>
  <c r="DC57" i="23" s="1"/>
  <c r="K28" i="34"/>
  <c r="JH28" i="23"/>
  <c r="JH29" i="23" s="1"/>
  <c r="JH20" i="23"/>
  <c r="JH57" i="23" s="1"/>
  <c r="BD61" i="23"/>
  <c r="EA61" i="23"/>
  <c r="DC29" i="23" l="1"/>
  <c r="DC61" i="23"/>
  <c r="JH61" i="23"/>
  <c r="U15" i="104"/>
  <c r="F21" i="103"/>
  <c r="E21" i="103"/>
  <c r="H29" i="37"/>
  <c r="JQ10" i="23"/>
  <c r="FT10" i="23"/>
  <c r="L13" i="104"/>
  <c r="T21" i="103" l="1"/>
  <c r="E15" i="103"/>
  <c r="U21" i="103"/>
  <c r="F15" i="103"/>
  <c r="AF46" i="23"/>
  <c r="AF48" i="23" s="1"/>
  <c r="AF37" i="23"/>
  <c r="U14" i="104"/>
  <c r="X15" i="104"/>
  <c r="X13" i="104"/>
  <c r="L5" i="104"/>
  <c r="FT27" i="23"/>
  <c r="FT29" i="23" s="1"/>
  <c r="FT20" i="23"/>
  <c r="FT57" i="23" s="1"/>
  <c r="JQ27" i="23"/>
  <c r="JQ29" i="23" s="1"/>
  <c r="JQ20" i="23"/>
  <c r="JQ57" i="23" s="1"/>
  <c r="H47" i="37"/>
  <c r="H49" i="37" s="1"/>
  <c r="H38" i="37"/>
  <c r="H21" i="37"/>
  <c r="H28" i="37"/>
  <c r="H30" i="37" s="1"/>
  <c r="U15" i="103" l="1"/>
  <c r="F23" i="103"/>
  <c r="U23" i="103" s="1"/>
  <c r="X14" i="104"/>
  <c r="E23" i="103"/>
  <c r="T23" i="103" s="1"/>
  <c r="T15" i="103"/>
  <c r="FT61" i="23"/>
  <c r="JQ61" i="23"/>
  <c r="E5" i="118"/>
  <c r="T23" i="118"/>
  <c r="U23" i="118"/>
  <c r="W23" i="118"/>
  <c r="X23" i="118"/>
  <c r="AC23" i="118"/>
  <c r="T21" i="118"/>
  <c r="U21" i="118"/>
  <c r="W21" i="118"/>
  <c r="X21" i="118"/>
  <c r="T19" i="118"/>
  <c r="U19" i="118"/>
  <c r="W19" i="118"/>
  <c r="X19" i="118"/>
  <c r="F7" i="118"/>
  <c r="AP7" i="118" s="1"/>
  <c r="AP5" i="118" s="1"/>
  <c r="L9" i="27"/>
  <c r="L20" i="27"/>
  <c r="D72" i="25"/>
  <c r="MQ16" i="23"/>
  <c r="CK13" i="105"/>
  <c r="CB13" i="105"/>
  <c r="AO30" i="23"/>
  <c r="AO41" i="23"/>
  <c r="MY41" i="23" s="1"/>
  <c r="EB13" i="105" l="1"/>
  <c r="MY30" i="23"/>
  <c r="DL30" i="105" s="1"/>
  <c r="E30" i="43" s="1"/>
  <c r="AO47" i="23"/>
  <c r="DL41" i="105"/>
  <c r="T15" i="118"/>
  <c r="T28" i="118" s="1"/>
  <c r="CB12" i="105"/>
  <c r="CB62" i="105" s="1"/>
  <c r="DZ13" i="105"/>
  <c r="DL13" i="105" s="1"/>
  <c r="X15" i="118"/>
  <c r="X28" i="118" s="1"/>
  <c r="W15" i="118"/>
  <c r="W28" i="118" s="1"/>
  <c r="U15" i="118"/>
  <c r="U28" i="118" s="1"/>
  <c r="CK12" i="105"/>
  <c r="CK20" i="105" s="1"/>
  <c r="CK58" i="105" s="1"/>
  <c r="CK27" i="105"/>
  <c r="CK29" i="105" s="1"/>
  <c r="MQ28" i="23"/>
  <c r="MQ29" i="23" s="1"/>
  <c r="MQ20" i="23"/>
  <c r="MQ57" i="23" s="1"/>
  <c r="AO37" i="23"/>
  <c r="CK27" i="23"/>
  <c r="CK29" i="23" s="1"/>
  <c r="CK20" i="23"/>
  <c r="CK57" i="23" s="1"/>
  <c r="E41" i="35"/>
  <c r="AC41" i="35" s="1"/>
  <c r="E42" i="35"/>
  <c r="E41" i="39"/>
  <c r="E41" i="36"/>
  <c r="E41" i="38"/>
  <c r="E41" i="74"/>
  <c r="E41" i="40"/>
  <c r="E41" i="37"/>
  <c r="E41" i="73"/>
  <c r="AC41" i="73" s="1"/>
  <c r="E42" i="73"/>
  <c r="AC42" i="73" s="1"/>
  <c r="E41" i="41" l="1"/>
  <c r="E42" i="41"/>
  <c r="E41" i="43" s="1"/>
  <c r="AC42" i="35"/>
  <c r="CK62" i="105"/>
  <c r="CK61" i="23"/>
  <c r="MQ61" i="23"/>
  <c r="F5" i="118"/>
  <c r="E22" i="34"/>
  <c r="E38" i="34"/>
  <c r="H48" i="34" l="1"/>
  <c r="H49" i="34" s="1"/>
  <c r="E13" i="34"/>
  <c r="E28" i="34" l="1"/>
  <c r="AO41" i="34"/>
  <c r="AD17" i="118"/>
  <c r="AM23" i="118"/>
  <c r="AL23" i="118"/>
  <c r="AJ23" i="118"/>
  <c r="AI23" i="118"/>
  <c r="AG23" i="118"/>
  <c r="AF23" i="118"/>
  <c r="AD23" i="118"/>
  <c r="R23" i="118"/>
  <c r="Q23" i="118"/>
  <c r="O23" i="118"/>
  <c r="N23" i="118"/>
  <c r="L23" i="118"/>
  <c r="K23" i="118"/>
  <c r="I23" i="118"/>
  <c r="H23" i="118"/>
  <c r="F23" i="118"/>
  <c r="E23" i="118"/>
  <c r="AM21" i="118"/>
  <c r="AL21" i="118"/>
  <c r="AJ21" i="118"/>
  <c r="AI21" i="118"/>
  <c r="AG21" i="118"/>
  <c r="AF21" i="118"/>
  <c r="AD21" i="118"/>
  <c r="AC21" i="118"/>
  <c r="R21" i="118"/>
  <c r="Q21" i="118"/>
  <c r="O21" i="118"/>
  <c r="N21" i="118"/>
  <c r="L21" i="118"/>
  <c r="K21" i="118"/>
  <c r="I21" i="118"/>
  <c r="H21" i="118"/>
  <c r="F21" i="118"/>
  <c r="E21" i="118"/>
  <c r="AM19" i="118"/>
  <c r="AL19" i="118"/>
  <c r="AL15" i="118" s="1"/>
  <c r="AJ19" i="118"/>
  <c r="AI19" i="118"/>
  <c r="AG19" i="118"/>
  <c r="AF19" i="118"/>
  <c r="AF15" i="118" s="1"/>
  <c r="AD19" i="118"/>
  <c r="AC19" i="118"/>
  <c r="R19" i="118"/>
  <c r="Q19" i="118"/>
  <c r="Q15" i="118" s="1"/>
  <c r="O19" i="118"/>
  <c r="N19" i="118"/>
  <c r="L19" i="118"/>
  <c r="K19" i="118"/>
  <c r="K15" i="118" s="1"/>
  <c r="I19" i="118"/>
  <c r="H19" i="118"/>
  <c r="F19" i="118"/>
  <c r="E19" i="118"/>
  <c r="E15" i="118" s="1"/>
  <c r="AM16" i="118"/>
  <c r="AG15" i="118" l="1"/>
  <c r="F15" i="118"/>
  <c r="F28" i="118" s="1"/>
  <c r="L15" i="118"/>
  <c r="L28" i="118" s="1"/>
  <c r="AC15" i="118"/>
  <c r="AC28" i="118" s="1"/>
  <c r="AO21" i="118"/>
  <c r="R15" i="118"/>
  <c r="R28" i="118" s="1"/>
  <c r="H15" i="118"/>
  <c r="H28" i="118" s="1"/>
  <c r="N15" i="118"/>
  <c r="N28" i="118" s="1"/>
  <c r="AI15" i="118"/>
  <c r="AI28" i="118" s="1"/>
  <c r="AM15" i="118"/>
  <c r="AM28" i="118" s="1"/>
  <c r="I15" i="118"/>
  <c r="I28" i="118" s="1"/>
  <c r="O15" i="118"/>
  <c r="O28" i="118" s="1"/>
  <c r="AJ15" i="118"/>
  <c r="AJ28" i="118" s="1"/>
  <c r="K28" i="118"/>
  <c r="Q28" i="118"/>
  <c r="AF28" i="118"/>
  <c r="AL28" i="118"/>
  <c r="AG28" i="118"/>
  <c r="AP23" i="118"/>
  <c r="AO19" i="118"/>
  <c r="E28" i="118"/>
  <c r="AO23" i="118"/>
  <c r="AP19" i="118"/>
  <c r="AP17" i="118"/>
  <c r="AD16" i="118"/>
  <c r="AD15" i="118" s="1"/>
  <c r="AP21" i="118"/>
  <c r="AO15" i="118" l="1"/>
  <c r="AP16" i="118"/>
  <c r="AO28" i="118"/>
  <c r="AF11" i="34"/>
  <c r="AF31" i="34"/>
  <c r="K31" i="41" s="1"/>
  <c r="AF47" i="34" l="1"/>
  <c r="AF38" i="34"/>
  <c r="K38" i="41" s="1"/>
  <c r="AD28" i="118"/>
  <c r="AP28" i="118" s="1"/>
  <c r="AP15" i="118"/>
  <c r="AL11" i="40"/>
  <c r="AF49" i="34" l="1"/>
  <c r="K49" i="41" s="1"/>
  <c r="K47" i="41"/>
  <c r="LG28" i="23"/>
  <c r="W28" i="34"/>
  <c r="Q28" i="43" l="1"/>
  <c r="CT27" i="23"/>
  <c r="CT29" i="23" s="1"/>
  <c r="CT20" i="23"/>
  <c r="CT57" i="23" s="1"/>
  <c r="JE28" i="23"/>
  <c r="JE29" i="23" s="1"/>
  <c r="JE20" i="23"/>
  <c r="JE57" i="23" s="1"/>
  <c r="H29" i="74"/>
  <c r="Z17" i="74"/>
  <c r="JE61" i="23" l="1"/>
  <c r="BJ27" i="105"/>
  <c r="BJ12" i="105"/>
  <c r="BJ62" i="105" s="1"/>
  <c r="KR27" i="23"/>
  <c r="N47" i="35"/>
  <c r="N49" i="35" s="1"/>
  <c r="N38" i="35"/>
  <c r="CT61" i="23"/>
  <c r="BJ20" i="105" l="1"/>
  <c r="BJ58" i="105" s="1"/>
  <c r="BJ29" i="105"/>
  <c r="IV27" i="23"/>
  <c r="IV29" i="23" s="1"/>
  <c r="IV20" i="23"/>
  <c r="IV57" i="23" s="1"/>
  <c r="IV61" i="23" l="1"/>
  <c r="LG10" i="23"/>
  <c r="Q10" i="43" l="1"/>
  <c r="LG27" i="23"/>
  <c r="LG20" i="23"/>
  <c r="CT37" i="23"/>
  <c r="CT46" i="23"/>
  <c r="CT48" i="23" s="1"/>
  <c r="LG29" i="23" l="1"/>
  <c r="Q27" i="43"/>
  <c r="LG57" i="23"/>
  <c r="DX58" i="105"/>
  <c r="Q20" i="43"/>
  <c r="LG61" i="23"/>
  <c r="AF10" i="34"/>
  <c r="K10" i="41" s="1"/>
  <c r="Q29" i="43" l="1"/>
  <c r="AF9" i="34"/>
  <c r="AO9" i="34" l="1"/>
  <c r="K9" i="41"/>
  <c r="AF28" i="34"/>
  <c r="N17" i="36"/>
  <c r="EP8" i="23"/>
  <c r="DF10" i="23"/>
  <c r="N29" i="36" l="1"/>
  <c r="E17" i="41"/>
  <c r="DF27" i="23"/>
  <c r="DF29" i="23" s="1"/>
  <c r="DF20" i="23"/>
  <c r="DF57" i="23" s="1"/>
  <c r="KC27" i="23"/>
  <c r="KC29" i="23" s="1"/>
  <c r="KC20" i="23"/>
  <c r="KC57" i="23" s="1"/>
  <c r="KR28" i="23"/>
  <c r="KR29" i="23" s="1"/>
  <c r="KR20" i="23"/>
  <c r="KR57" i="23" s="1"/>
  <c r="E50" i="23"/>
  <c r="MY50" i="23" l="1"/>
  <c r="DL50" i="105" s="1"/>
  <c r="KR61" i="23"/>
  <c r="KC61" i="23"/>
  <c r="DF61" i="23"/>
  <c r="D8" i="25" l="1"/>
  <c r="LS16" i="23" l="1"/>
  <c r="MY16" i="23" s="1"/>
  <c r="MT16" i="23"/>
  <c r="MK10" i="23"/>
  <c r="MK16" i="23"/>
  <c r="FH9" i="23"/>
  <c r="ED9" i="23"/>
  <c r="ED8" i="23"/>
  <c r="DI9" i="23"/>
  <c r="MY9" i="23" s="1"/>
  <c r="D31" i="25"/>
  <c r="D41" i="25"/>
  <c r="AR10" i="40"/>
  <c r="AL10" i="40"/>
  <c r="AL9" i="40"/>
  <c r="AI10" i="40"/>
  <c r="AF10" i="40"/>
  <c r="AF9" i="40"/>
  <c r="H9" i="41" s="1"/>
  <c r="AC10" i="40"/>
  <c r="Q10" i="40"/>
  <c r="K10" i="40"/>
  <c r="H10" i="39"/>
  <c r="H9" i="39"/>
  <c r="K10" i="38"/>
  <c r="K9" i="38"/>
  <c r="N10" i="36"/>
  <c r="K10" i="36"/>
  <c r="H10" i="36"/>
  <c r="K10" i="74"/>
  <c r="H10" i="74"/>
  <c r="H28" i="74" s="1"/>
  <c r="H30" i="74" s="1"/>
  <c r="MY8" i="23" l="1"/>
  <c r="DL8" i="105" s="1"/>
  <c r="E10" i="41"/>
  <c r="H10" i="41"/>
  <c r="DL9" i="105"/>
  <c r="DI20" i="23"/>
  <c r="ED20" i="23"/>
  <c r="ED57" i="23" s="1"/>
  <c r="N28" i="36"/>
  <c r="N30" i="36" s="1"/>
  <c r="N21" i="36"/>
  <c r="AL21" i="40"/>
  <c r="AL28" i="40"/>
  <c r="AL30" i="40" s="1"/>
  <c r="K28" i="74"/>
  <c r="K30" i="74" s="1"/>
  <c r="K21" i="74"/>
  <c r="H28" i="38"/>
  <c r="W9" i="38"/>
  <c r="H28" i="40"/>
  <c r="Q21" i="40"/>
  <c r="Q28" i="40"/>
  <c r="Q30" i="40" s="1"/>
  <c r="EP20" i="23"/>
  <c r="EP57" i="23" s="1"/>
  <c r="EP27" i="23"/>
  <c r="EP29" i="23" s="1"/>
  <c r="MK28" i="23"/>
  <c r="MK20" i="23"/>
  <c r="MK57" i="23" s="1"/>
  <c r="LS28" i="23"/>
  <c r="LS29" i="23" s="1"/>
  <c r="LS20" i="23"/>
  <c r="LS57" i="23" s="1"/>
  <c r="H21" i="73"/>
  <c r="H28" i="73"/>
  <c r="H30" i="73" s="1"/>
  <c r="H21" i="36"/>
  <c r="H28" i="36"/>
  <c r="H30" i="36" s="1"/>
  <c r="Z21" i="40"/>
  <c r="Z28" i="40"/>
  <c r="Z30" i="40" s="1"/>
  <c r="AR28" i="40"/>
  <c r="AR30" i="40" s="1"/>
  <c r="AR21" i="40"/>
  <c r="MK27" i="23"/>
  <c r="MK29" i="23" s="1"/>
  <c r="K21" i="73"/>
  <c r="K28" i="73"/>
  <c r="K30" i="73" s="1"/>
  <c r="K28" i="36"/>
  <c r="K30" i="36" s="1"/>
  <c r="K21" i="36"/>
  <c r="K28" i="38"/>
  <c r="K30" i="38" s="1"/>
  <c r="K21" i="38"/>
  <c r="N21" i="35"/>
  <c r="N28" i="35"/>
  <c r="N30" i="35" s="1"/>
  <c r="ED27" i="23"/>
  <c r="ED29" i="23" s="1"/>
  <c r="FH20" i="23"/>
  <c r="FH57" i="23" s="1"/>
  <c r="FH27" i="23"/>
  <c r="FH29" i="23" s="1"/>
  <c r="MT28" i="23"/>
  <c r="MT29" i="23" s="1"/>
  <c r="MT20" i="23"/>
  <c r="MT57" i="23" s="1"/>
  <c r="E5" i="104"/>
  <c r="E19" i="104" s="1"/>
  <c r="K5" i="104"/>
  <c r="K19" i="104" s="1"/>
  <c r="L19" i="104"/>
  <c r="N5" i="104"/>
  <c r="O5" i="104"/>
  <c r="O19" i="104" s="1"/>
  <c r="T5" i="104"/>
  <c r="U5" i="104"/>
  <c r="U19" i="104" s="1"/>
  <c r="GF10" i="23"/>
  <c r="D59" i="25"/>
  <c r="E9" i="43" l="1"/>
  <c r="ED61" i="23"/>
  <c r="LS61" i="23"/>
  <c r="GI20" i="23"/>
  <c r="GI57" i="23" s="1"/>
  <c r="FH61" i="23"/>
  <c r="GF28" i="23"/>
  <c r="GF20" i="23"/>
  <c r="GF57" i="23" s="1"/>
  <c r="GI28" i="23"/>
  <c r="GF27" i="23"/>
  <c r="MT61" i="23"/>
  <c r="GI27" i="23"/>
  <c r="MK61" i="23"/>
  <c r="EP61" i="23"/>
  <c r="W5" i="104"/>
  <c r="N19" i="104"/>
  <c r="GF61" i="23" l="1"/>
  <c r="GF29" i="23"/>
  <c r="GI29" i="23"/>
  <c r="GI61" i="23"/>
  <c r="GO10" i="23"/>
  <c r="AI11" i="34"/>
  <c r="K11" i="41" s="1"/>
  <c r="GO27" i="23" l="1"/>
  <c r="GO28" i="23"/>
  <c r="GO20" i="23"/>
  <c r="GO57" i="23" s="1"/>
  <c r="AI28" i="34"/>
  <c r="GO29" i="23" l="1"/>
  <c r="GO61" i="23"/>
  <c r="DL16" i="105"/>
  <c r="E16" i="43" s="1"/>
  <c r="I86" i="101"/>
  <c r="AX47" i="40" l="1"/>
  <c r="AX49" i="40" s="1"/>
  <c r="AX38" i="40"/>
  <c r="CB28" i="23"/>
  <c r="CB29" i="23" s="1"/>
  <c r="CB20" i="23"/>
  <c r="CB57" i="23" s="1"/>
  <c r="H11" i="35"/>
  <c r="AC11" i="35" s="1"/>
  <c r="H28" i="35" l="1"/>
  <c r="H30" i="35" s="1"/>
  <c r="H21" i="35"/>
  <c r="H28" i="39"/>
  <c r="H30" i="39" s="1"/>
  <c r="H21" i="39"/>
  <c r="Q28" i="37"/>
  <c r="Q30" i="37" s="1"/>
  <c r="Q21" i="37"/>
  <c r="CB61" i="23"/>
  <c r="D33" i="25" l="1"/>
  <c r="T9" i="39"/>
  <c r="E9" i="41" s="1"/>
  <c r="N9" i="41" l="1"/>
  <c r="E8" i="43"/>
  <c r="ES27" i="23"/>
  <c r="T21" i="39"/>
  <c r="T28" i="39"/>
  <c r="T30" i="39" s="1"/>
  <c r="H29" i="40"/>
  <c r="H30" i="40" s="1"/>
  <c r="H21" i="40"/>
  <c r="FQ27" i="23"/>
  <c r="FQ29" i="23" s="1"/>
  <c r="FQ20" i="23"/>
  <c r="FQ57" i="23" s="1"/>
  <c r="BY27" i="23"/>
  <c r="BY29" i="23" s="1"/>
  <c r="BY20" i="23"/>
  <c r="BY57" i="23" s="1"/>
  <c r="IP27" i="23"/>
  <c r="IP29" i="23" s="1"/>
  <c r="IP20" i="23"/>
  <c r="IP57" i="23" s="1"/>
  <c r="F41" i="101"/>
  <c r="F40" i="101" s="1"/>
  <c r="F39" i="101" s="1"/>
  <c r="FQ61" i="23" l="1"/>
  <c r="BY61" i="23"/>
  <c r="IP61" i="23"/>
  <c r="E7" i="28"/>
  <c r="F9" i="28"/>
  <c r="DZ11" i="105"/>
  <c r="DL11" i="105" s="1"/>
  <c r="CZ22" i="105"/>
  <c r="CZ39" i="105"/>
  <c r="DX10" i="23"/>
  <c r="AC26" i="26"/>
  <c r="AJ24" i="26"/>
  <c r="F104" i="27"/>
  <c r="H104" i="27"/>
  <c r="I104" i="27"/>
  <c r="K104" i="27"/>
  <c r="L104" i="27"/>
  <c r="N104" i="27"/>
  <c r="O104" i="27"/>
  <c r="E104" i="27"/>
  <c r="L75" i="27"/>
  <c r="F75" i="27"/>
  <c r="H75" i="27"/>
  <c r="I75" i="27"/>
  <c r="K75" i="27"/>
  <c r="N75" i="27"/>
  <c r="O75" i="27"/>
  <c r="E75" i="27"/>
  <c r="L71" i="27"/>
  <c r="E71" i="27"/>
  <c r="F71" i="27"/>
  <c r="H71" i="27"/>
  <c r="I71" i="27"/>
  <c r="K71" i="27"/>
  <c r="N71" i="27"/>
  <c r="O71" i="27"/>
  <c r="O69" i="27"/>
  <c r="N69" i="27"/>
  <c r="I69" i="27"/>
  <c r="H69" i="27"/>
  <c r="F69" i="27"/>
  <c r="E69" i="27"/>
  <c r="O60" i="27"/>
  <c r="N60" i="27"/>
  <c r="L60" i="27"/>
  <c r="L111" i="27" s="1"/>
  <c r="K60" i="27"/>
  <c r="I60" i="27"/>
  <c r="H60" i="27"/>
  <c r="F60" i="27"/>
  <c r="E60" i="27"/>
  <c r="EB39" i="105" l="1"/>
  <c r="DO39" i="105" s="1"/>
  <c r="EB22" i="105"/>
  <c r="DO22" i="105" s="1"/>
  <c r="AD26" i="26"/>
  <c r="DX27" i="23"/>
  <c r="DX29" i="23" s="1"/>
  <c r="DX20" i="23"/>
  <c r="DX57" i="23" s="1"/>
  <c r="CZ21" i="105"/>
  <c r="CZ27" i="105"/>
  <c r="CZ29" i="105" s="1"/>
  <c r="F7" i="28"/>
  <c r="F22" i="28" s="1"/>
  <c r="D52" i="25"/>
  <c r="F37" i="27"/>
  <c r="F36" i="27"/>
  <c r="D35" i="25"/>
  <c r="D9" i="25"/>
  <c r="EB21" i="105" l="1"/>
  <c r="DO21" i="105" s="1"/>
  <c r="DO13" i="105"/>
  <c r="CT27" i="105"/>
  <c r="CT29" i="105" s="1"/>
  <c r="CT12" i="105"/>
  <c r="BG12" i="105"/>
  <c r="BG27" i="105"/>
  <c r="DX61" i="23"/>
  <c r="F35" i="27"/>
  <c r="D30" i="25"/>
  <c r="K49" i="27"/>
  <c r="H49" i="27"/>
  <c r="E49" i="27"/>
  <c r="F49" i="27"/>
  <c r="O49" i="27"/>
  <c r="N49" i="27"/>
  <c r="I49" i="27"/>
  <c r="EB27" i="105" l="1"/>
  <c r="BG62" i="105"/>
  <c r="EB12" i="105"/>
  <c r="CT20" i="105"/>
  <c r="CT58" i="105" s="1"/>
  <c r="CT62" i="105"/>
  <c r="BG20" i="105"/>
  <c r="BG58" i="105" s="1"/>
  <c r="DO12" i="105"/>
  <c r="DO62" i="105" s="1"/>
  <c r="BG29" i="105"/>
  <c r="EJ27" i="23"/>
  <c r="EJ29" i="23" s="1"/>
  <c r="EJ20" i="23"/>
  <c r="EJ57" i="23" s="1"/>
  <c r="Q28" i="74" l="1"/>
  <c r="Q30" i="74" s="1"/>
  <c r="Q21" i="74"/>
  <c r="EJ61" i="23"/>
  <c r="T19" i="104" l="1"/>
  <c r="E34" i="43"/>
  <c r="E36" i="43"/>
  <c r="AJ25" i="26" l="1"/>
  <c r="AJ23" i="26" s="1"/>
  <c r="D44" i="25" l="1"/>
  <c r="MB28" i="23" l="1"/>
  <c r="MB29" i="23" s="1"/>
  <c r="MB20" i="23"/>
  <c r="MB57" i="23" s="1"/>
  <c r="H38" i="36"/>
  <c r="H47" i="36"/>
  <c r="H49" i="36" s="1"/>
  <c r="K38" i="36"/>
  <c r="K47" i="36"/>
  <c r="K49" i="36" s="1"/>
  <c r="DN11" i="105"/>
  <c r="DN14" i="105"/>
  <c r="DN15" i="105"/>
  <c r="DN17" i="105"/>
  <c r="DN22" i="105"/>
  <c r="DN23" i="105"/>
  <c r="DN24" i="105"/>
  <c r="DN25" i="105"/>
  <c r="DN26" i="105"/>
  <c r="DN30" i="105"/>
  <c r="DN31" i="105"/>
  <c r="DN32" i="105"/>
  <c r="DN35" i="105"/>
  <c r="DN36" i="105"/>
  <c r="DN39" i="105"/>
  <c r="DN40" i="105"/>
  <c r="DN41" i="105"/>
  <c r="DN42" i="105"/>
  <c r="DN43" i="105"/>
  <c r="DN44" i="105"/>
  <c r="DN45" i="105"/>
  <c r="DN49" i="105"/>
  <c r="DN50" i="105"/>
  <c r="MB61" i="23" l="1"/>
  <c r="GX27" i="23" l="1"/>
  <c r="GX29" i="23" s="1"/>
  <c r="GX20" i="23"/>
  <c r="GX57" i="23" s="1"/>
  <c r="HD10" i="23"/>
  <c r="HD8" i="23"/>
  <c r="FK10" i="23"/>
  <c r="FK27" i="23" l="1"/>
  <c r="FK29" i="23" s="1"/>
  <c r="FK20" i="23"/>
  <c r="FK57" i="23" s="1"/>
  <c r="H29" i="38"/>
  <c r="H30" i="38" s="1"/>
  <c r="H21" i="38"/>
  <c r="CB27" i="105"/>
  <c r="CB29" i="105" s="1"/>
  <c r="CB20" i="105"/>
  <c r="CB58" i="105" s="1"/>
  <c r="GX61" i="23"/>
  <c r="D66" i="25"/>
  <c r="D56" i="25" s="1"/>
  <c r="FK61" i="23" l="1"/>
  <c r="K28" i="40" l="1"/>
  <c r="K30" i="40" s="1"/>
  <c r="K21" i="40"/>
  <c r="F90" i="101"/>
  <c r="H47" i="40" l="1"/>
  <c r="H49" i="40" s="1"/>
  <c r="AO47" i="40" l="1"/>
  <c r="AO49" i="40" s="1"/>
  <c r="AO38" i="40"/>
  <c r="AO21" i="40"/>
  <c r="AO28" i="40"/>
  <c r="AO30" i="40" s="1"/>
  <c r="NA16" i="23"/>
  <c r="DO16" i="105" s="1"/>
  <c r="KO28" i="23" l="1"/>
  <c r="KO20" i="23"/>
  <c r="KO57" i="23" s="1"/>
  <c r="KO29" i="23" l="1"/>
  <c r="NA28" i="23"/>
  <c r="KO61" i="23"/>
  <c r="F118" i="27"/>
  <c r="H118" i="27"/>
  <c r="I118" i="27"/>
  <c r="K118" i="27"/>
  <c r="L118" i="27"/>
  <c r="N118" i="27"/>
  <c r="O118" i="27"/>
  <c r="E118" i="27"/>
  <c r="F115" i="27"/>
  <c r="H115" i="27"/>
  <c r="H121" i="27" s="1"/>
  <c r="I115" i="27"/>
  <c r="I121" i="27" s="1"/>
  <c r="K115" i="27"/>
  <c r="K121" i="27" s="1"/>
  <c r="L115" i="27"/>
  <c r="L121" i="27" s="1"/>
  <c r="N115" i="27"/>
  <c r="O115" i="27"/>
  <c r="O121" i="27" s="1"/>
  <c r="E115" i="27"/>
  <c r="E121" i="27" s="1"/>
  <c r="E35" i="27"/>
  <c r="F33" i="27"/>
  <c r="E33" i="27"/>
  <c r="F21" i="27"/>
  <c r="E21" i="27"/>
  <c r="L19" i="27"/>
  <c r="L17" i="27"/>
  <c r="K17" i="27"/>
  <c r="L8" i="27"/>
  <c r="K8" i="27"/>
  <c r="L6" i="27"/>
  <c r="K6" i="27"/>
  <c r="F6" i="27"/>
  <c r="H6" i="27"/>
  <c r="I6" i="27"/>
  <c r="N6" i="27"/>
  <c r="O6" i="27"/>
  <c r="E6" i="27"/>
  <c r="F8" i="27"/>
  <c r="H8" i="27"/>
  <c r="I8" i="27"/>
  <c r="N8" i="27"/>
  <c r="O8" i="27"/>
  <c r="E8" i="27"/>
  <c r="F10" i="27"/>
  <c r="H10" i="27"/>
  <c r="I10" i="27"/>
  <c r="N10" i="27"/>
  <c r="O10" i="27"/>
  <c r="E10" i="27"/>
  <c r="F17" i="27"/>
  <c r="H17" i="27"/>
  <c r="I17" i="27"/>
  <c r="N17" i="27"/>
  <c r="O17" i="27"/>
  <c r="F19" i="27"/>
  <c r="H19" i="27"/>
  <c r="I19" i="27"/>
  <c r="N19" i="27"/>
  <c r="O19" i="27"/>
  <c r="H21" i="27"/>
  <c r="I21" i="27"/>
  <c r="K21" i="27"/>
  <c r="L21" i="27"/>
  <c r="N21" i="27"/>
  <c r="O21" i="27"/>
  <c r="F23" i="27"/>
  <c r="H23" i="27"/>
  <c r="I23" i="27"/>
  <c r="N23" i="27"/>
  <c r="O23" i="27"/>
  <c r="E23" i="27"/>
  <c r="H33" i="27"/>
  <c r="I33" i="27"/>
  <c r="K33" i="27"/>
  <c r="L33" i="27"/>
  <c r="N33" i="27"/>
  <c r="O33" i="27"/>
  <c r="H35" i="27"/>
  <c r="I35" i="27"/>
  <c r="K35" i="27"/>
  <c r="L35" i="27"/>
  <c r="N35" i="27"/>
  <c r="O35" i="27"/>
  <c r="F41" i="27"/>
  <c r="H41" i="27"/>
  <c r="I41" i="27"/>
  <c r="N41" i="27"/>
  <c r="O41" i="27"/>
  <c r="E41" i="27"/>
  <c r="F121" i="27" l="1"/>
  <c r="N121" i="27"/>
  <c r="ES17" i="23"/>
  <c r="H3" i="100"/>
  <c r="D3" i="100"/>
  <c r="MY17" i="23" l="1"/>
  <c r="DL17" i="105" s="1"/>
  <c r="ES20" i="23"/>
  <c r="ES57" i="23" s="1"/>
  <c r="ES28" i="23"/>
  <c r="ES29" i="23" s="1"/>
  <c r="E11" i="38"/>
  <c r="Q34" i="38"/>
  <c r="E11" i="73"/>
  <c r="AC11" i="73" s="1"/>
  <c r="Q34" i="73"/>
  <c r="AC34" i="73" s="1"/>
  <c r="T34" i="37"/>
  <c r="E11" i="37"/>
  <c r="E11" i="41" s="1"/>
  <c r="E11" i="40"/>
  <c r="BA34" i="40"/>
  <c r="E11" i="36"/>
  <c r="D11" i="36"/>
  <c r="Q34" i="36"/>
  <c r="E34" i="41" l="1"/>
  <c r="Q28" i="23"/>
  <c r="Q29" i="23" s="1"/>
  <c r="Q20" i="23"/>
  <c r="Q57" i="23" s="1"/>
  <c r="Q38" i="73"/>
  <c r="Q47" i="73"/>
  <c r="Q49" i="73" s="1"/>
  <c r="ES61" i="23"/>
  <c r="T47" i="37"/>
  <c r="T49" i="37" s="1"/>
  <c r="T38" i="37"/>
  <c r="Z20" i="23"/>
  <c r="Z57" i="23" s="1"/>
  <c r="Z28" i="23"/>
  <c r="Z29" i="23" s="1"/>
  <c r="Q47" i="36"/>
  <c r="Q49" i="36" s="1"/>
  <c r="Q38" i="36"/>
  <c r="BA47" i="40"/>
  <c r="BA49" i="40" s="1"/>
  <c r="BA38" i="40"/>
  <c r="N21" i="40"/>
  <c r="N28" i="40"/>
  <c r="AR38" i="40"/>
  <c r="AR47" i="40"/>
  <c r="AR49" i="40" s="1"/>
  <c r="N47" i="36"/>
  <c r="N49" i="36" s="1"/>
  <c r="N38" i="36"/>
  <c r="T38" i="40"/>
  <c r="T47" i="40"/>
  <c r="T49" i="40" s="1"/>
  <c r="Q47" i="38"/>
  <c r="Q49" i="38" s="1"/>
  <c r="Q38" i="38"/>
  <c r="C90" i="101"/>
  <c r="N30" i="40" l="1"/>
  <c r="Z61" i="23"/>
  <c r="Q61" i="23"/>
  <c r="AF26" i="26"/>
  <c r="AG26" i="26"/>
  <c r="I12" i="26"/>
  <c r="AJ12" i="26" s="1"/>
  <c r="I8" i="26"/>
  <c r="DO19" i="105"/>
  <c r="Y21" i="43"/>
  <c r="I12" i="104"/>
  <c r="X12" i="104" s="1"/>
  <c r="X10" i="104"/>
  <c r="X7" i="104"/>
  <c r="X8" i="104"/>
  <c r="X6" i="104"/>
  <c r="DI32" i="105"/>
  <c r="DZ32" i="105" s="1"/>
  <c r="DL32" i="105" s="1"/>
  <c r="E32" i="43" s="1"/>
  <c r="NA33" i="23"/>
  <c r="DO33" i="105" s="1"/>
  <c r="GO33" i="23"/>
  <c r="GF33" i="23"/>
  <c r="MY33" i="23" s="1"/>
  <c r="DI33" i="105"/>
  <c r="DZ33" i="105" s="1"/>
  <c r="I5" i="26" l="1"/>
  <c r="AJ5" i="26" s="1"/>
  <c r="AJ26" i="26" s="1"/>
  <c r="AJ8" i="26"/>
  <c r="DL33" i="105"/>
  <c r="E33" i="43" s="1"/>
  <c r="EM37" i="23"/>
  <c r="EM46" i="23"/>
  <c r="GF37" i="23"/>
  <c r="GF46" i="23"/>
  <c r="GF48" i="23" s="1"/>
  <c r="EJ37" i="23"/>
  <c r="EJ46" i="23"/>
  <c r="EJ48" i="23" s="1"/>
  <c r="ES46" i="23"/>
  <c r="ES48" i="23" s="1"/>
  <c r="ES37" i="23"/>
  <c r="EY37" i="23"/>
  <c r="EY46" i="23"/>
  <c r="AR18" i="105"/>
  <c r="GO46" i="23"/>
  <c r="GO48" i="23" s="1"/>
  <c r="GO37" i="23"/>
  <c r="GI37" i="23"/>
  <c r="GI46" i="23"/>
  <c r="GI48" i="23" s="1"/>
  <c r="DI37" i="105"/>
  <c r="DI46" i="105"/>
  <c r="DI48" i="105" s="1"/>
  <c r="F5" i="104"/>
  <c r="I5" i="104"/>
  <c r="I19" i="104" s="1"/>
  <c r="EB18" i="105" l="1"/>
  <c r="DO18" i="105" s="1"/>
  <c r="EM48" i="23"/>
  <c r="EY48" i="23"/>
  <c r="NA46" i="23"/>
  <c r="DO46" i="105" s="1"/>
  <c r="AR28" i="105"/>
  <c r="EB28" i="105" s="1"/>
  <c r="AR20" i="105"/>
  <c r="EB20" i="105" s="1"/>
  <c r="X5" i="104"/>
  <c r="Y20" i="43" s="1"/>
  <c r="AA20" i="43" s="1"/>
  <c r="AR58" i="105" l="1"/>
  <c r="AR29" i="105"/>
  <c r="EB29" i="105" s="1"/>
  <c r="DO28" i="105"/>
  <c r="D49" i="100"/>
  <c r="D45" i="100"/>
  <c r="D43" i="100"/>
  <c r="D32" i="100"/>
  <c r="D29" i="100"/>
  <c r="D26" i="100"/>
  <c r="D23" i="100"/>
  <c r="D19" i="100"/>
  <c r="D14" i="100"/>
  <c r="D51" i="100" l="1"/>
  <c r="F19" i="104"/>
  <c r="X19" i="104" s="1"/>
  <c r="N6" i="102"/>
  <c r="N7" i="102"/>
  <c r="N8" i="102"/>
  <c r="N9" i="102"/>
  <c r="N10" i="102"/>
  <c r="N11" i="102"/>
  <c r="N12" i="102"/>
  <c r="N14" i="102"/>
  <c r="N15" i="102"/>
  <c r="M6" i="102"/>
  <c r="M7" i="102"/>
  <c r="M8" i="102"/>
  <c r="M9" i="102"/>
  <c r="M10" i="102"/>
  <c r="M11" i="102"/>
  <c r="M12" i="102"/>
  <c r="M14" i="102"/>
  <c r="M15" i="102"/>
  <c r="K13" i="102"/>
  <c r="E13" i="102"/>
  <c r="K5" i="102"/>
  <c r="E5" i="102"/>
  <c r="K16" i="102" l="1"/>
  <c r="H19" i="104"/>
  <c r="W19" i="104" s="1"/>
  <c r="E16" i="102"/>
  <c r="F13" i="102"/>
  <c r="H13" i="102"/>
  <c r="M13" i="102" s="1"/>
  <c r="I13" i="102"/>
  <c r="L13" i="102"/>
  <c r="F5" i="102"/>
  <c r="H5" i="102"/>
  <c r="M5" i="102" s="1"/>
  <c r="I5" i="102"/>
  <c r="L5" i="102"/>
  <c r="I16" i="102" l="1"/>
  <c r="L16" i="102"/>
  <c r="H16" i="102"/>
  <c r="M16" i="102" s="1"/>
  <c r="N5" i="102"/>
  <c r="N13" i="102"/>
  <c r="F16" i="102"/>
  <c r="F76" i="101"/>
  <c r="G82" i="101" s="1"/>
  <c r="F72" i="101"/>
  <c r="F71" i="101" s="1"/>
  <c r="F64" i="101"/>
  <c r="F62" i="101"/>
  <c r="F56" i="101"/>
  <c r="F49" i="101"/>
  <c r="F33" i="101"/>
  <c r="F29" i="101"/>
  <c r="F15" i="101"/>
  <c r="F17" i="101"/>
  <c r="F19" i="101"/>
  <c r="F21" i="101"/>
  <c r="F23" i="101"/>
  <c r="F13" i="101"/>
  <c r="Y16" i="43"/>
  <c r="D71" i="25"/>
  <c r="E71" i="25"/>
  <c r="F71" i="25"/>
  <c r="D51" i="25"/>
  <c r="E51" i="25"/>
  <c r="F51" i="25"/>
  <c r="D47" i="25"/>
  <c r="E47" i="25"/>
  <c r="F47" i="25"/>
  <c r="D36" i="25"/>
  <c r="E27" i="25"/>
  <c r="F27" i="25"/>
  <c r="F24" i="25"/>
  <c r="D24" i="25"/>
  <c r="E24" i="25"/>
  <c r="C24" i="25"/>
  <c r="F21" i="25"/>
  <c r="D21" i="25"/>
  <c r="F12" i="25"/>
  <c r="D12" i="25"/>
  <c r="D6" i="25"/>
  <c r="F6" i="25"/>
  <c r="O130" i="27"/>
  <c r="L130" i="27"/>
  <c r="L132" i="27" s="1"/>
  <c r="I130" i="27"/>
  <c r="I132" i="27" s="1"/>
  <c r="F130" i="27"/>
  <c r="F132" i="27" s="1"/>
  <c r="AI24" i="26"/>
  <c r="AI25" i="26"/>
  <c r="AI23" i="26" s="1"/>
  <c r="AI26" i="26" s="1"/>
  <c r="H26" i="26"/>
  <c r="I26" i="26"/>
  <c r="N26" i="26"/>
  <c r="O26" i="26"/>
  <c r="Q26" i="26"/>
  <c r="R26" i="26"/>
  <c r="Z26" i="26"/>
  <c r="AA26" i="26"/>
  <c r="DR9" i="105"/>
  <c r="DR10" i="105"/>
  <c r="DR11" i="105"/>
  <c r="DU11" i="105" s="1"/>
  <c r="DR12" i="105"/>
  <c r="DR13" i="105"/>
  <c r="DU13" i="105" s="1"/>
  <c r="DR14" i="105"/>
  <c r="DR15" i="105"/>
  <c r="DU15" i="105" s="1"/>
  <c r="DR16" i="105"/>
  <c r="DU16" i="105" s="1"/>
  <c r="DR17" i="105"/>
  <c r="DR18" i="105"/>
  <c r="DR19" i="105"/>
  <c r="DR20" i="105"/>
  <c r="DR21" i="105"/>
  <c r="DR22" i="105"/>
  <c r="DR23" i="105"/>
  <c r="DR24" i="105"/>
  <c r="DR25" i="105"/>
  <c r="DR26" i="105"/>
  <c r="DR27" i="105"/>
  <c r="DR28" i="105"/>
  <c r="DR29" i="105"/>
  <c r="DR30" i="105"/>
  <c r="DU30" i="105" s="1"/>
  <c r="DR31" i="105"/>
  <c r="DR32" i="105"/>
  <c r="DR33" i="105"/>
  <c r="DR34" i="105"/>
  <c r="DR35" i="105"/>
  <c r="DR36" i="105"/>
  <c r="DR37" i="105"/>
  <c r="DR38" i="105"/>
  <c r="DR39" i="105"/>
  <c r="DR40" i="105"/>
  <c r="DR41" i="105"/>
  <c r="DR42" i="105"/>
  <c r="DR43" i="105"/>
  <c r="DR44" i="105"/>
  <c r="DR45" i="105"/>
  <c r="DR46" i="105"/>
  <c r="DR47" i="105"/>
  <c r="DR48" i="105"/>
  <c r="DR49" i="105"/>
  <c r="DR50" i="105"/>
  <c r="DQ9" i="105"/>
  <c r="DQ10" i="105"/>
  <c r="DQ11" i="105"/>
  <c r="DQ12" i="105"/>
  <c r="DQ13" i="105"/>
  <c r="DQ14" i="105"/>
  <c r="DQ15" i="105"/>
  <c r="DQ16" i="105"/>
  <c r="DQ17" i="105"/>
  <c r="DQ18" i="105"/>
  <c r="DQ19" i="105"/>
  <c r="DQ20" i="105"/>
  <c r="DQ21" i="105"/>
  <c r="DQ22" i="105"/>
  <c r="DQ23" i="105"/>
  <c r="DQ24" i="105"/>
  <c r="DQ25" i="105"/>
  <c r="DQ26" i="105"/>
  <c r="DQ27" i="105"/>
  <c r="DQ28" i="105"/>
  <c r="DQ29" i="105"/>
  <c r="DQ30" i="105"/>
  <c r="DQ31" i="105"/>
  <c r="DQ32" i="105"/>
  <c r="DQ33" i="105"/>
  <c r="DQ34" i="105"/>
  <c r="DQ35" i="105"/>
  <c r="DQ36" i="105"/>
  <c r="DQ37" i="105"/>
  <c r="DQ38" i="105"/>
  <c r="DQ39" i="105"/>
  <c r="DQ40" i="105"/>
  <c r="DQ41" i="105"/>
  <c r="DQ42" i="105"/>
  <c r="DQ43" i="105"/>
  <c r="DQ44" i="105"/>
  <c r="DQ45" i="105"/>
  <c r="DQ46" i="105"/>
  <c r="DQ47" i="105"/>
  <c r="DQ48" i="105"/>
  <c r="DQ49" i="105"/>
  <c r="DQ50" i="105"/>
  <c r="DQ8" i="105"/>
  <c r="DR8" i="105"/>
  <c r="DR62" i="105" l="1"/>
  <c r="DQ62" i="105"/>
  <c r="N16" i="102"/>
  <c r="D27" i="25"/>
  <c r="D74" i="25" s="1"/>
  <c r="D75" i="25" s="1"/>
  <c r="J29" i="74"/>
  <c r="DR58" i="105"/>
  <c r="DQ58" i="105"/>
  <c r="F24" i="101"/>
  <c r="F9" i="101"/>
  <c r="O132" i="27"/>
  <c r="F26" i="26"/>
  <c r="F74" i="25"/>
  <c r="F12" i="101"/>
  <c r="F8" i="101" s="1"/>
  <c r="F55" i="101"/>
  <c r="G80" i="101" s="1"/>
  <c r="Y11" i="43" l="1"/>
  <c r="F53" i="101"/>
  <c r="I82" i="101" s="1"/>
  <c r="L134" i="27"/>
  <c r="Y12" i="43" s="1"/>
  <c r="Y15" i="43"/>
  <c r="IH27" i="23" l="1"/>
  <c r="IH29" i="23" s="1"/>
  <c r="IH12" i="23"/>
  <c r="DU14" i="105" s="1"/>
  <c r="F78" i="101"/>
  <c r="H11" i="43"/>
  <c r="H13" i="43"/>
  <c r="H14" i="43"/>
  <c r="H15" i="43"/>
  <c r="H16" i="43"/>
  <c r="H17" i="43"/>
  <c r="H19" i="43"/>
  <c r="H22" i="43"/>
  <c r="H23" i="43"/>
  <c r="H24" i="43"/>
  <c r="H25" i="43"/>
  <c r="H26" i="43"/>
  <c r="H30" i="43"/>
  <c r="H31" i="43"/>
  <c r="H32" i="43"/>
  <c r="H35" i="43"/>
  <c r="H36" i="43"/>
  <c r="H39" i="43"/>
  <c r="H40" i="43"/>
  <c r="H41" i="43"/>
  <c r="H42" i="43"/>
  <c r="H43" i="43"/>
  <c r="H44" i="43"/>
  <c r="H45" i="43"/>
  <c r="H49" i="43"/>
  <c r="H50" i="43"/>
  <c r="E11" i="43"/>
  <c r="E13" i="43"/>
  <c r="E17" i="43"/>
  <c r="E22" i="43"/>
  <c r="E23" i="43"/>
  <c r="E24" i="43"/>
  <c r="E25" i="43"/>
  <c r="E26" i="43"/>
  <c r="E31" i="43"/>
  <c r="E35" i="43"/>
  <c r="E39" i="43"/>
  <c r="E44" i="43"/>
  <c r="E45" i="43"/>
  <c r="E49" i="43"/>
  <c r="E50" i="43"/>
  <c r="K9" i="43"/>
  <c r="K11" i="43"/>
  <c r="K13" i="43"/>
  <c r="K14" i="43"/>
  <c r="K15" i="43"/>
  <c r="K16" i="43"/>
  <c r="K17" i="43"/>
  <c r="K19" i="43"/>
  <c r="K22" i="43"/>
  <c r="K23" i="43"/>
  <c r="K24" i="43"/>
  <c r="K25" i="43"/>
  <c r="K26" i="43"/>
  <c r="K30" i="43"/>
  <c r="K31" i="43"/>
  <c r="K32" i="43"/>
  <c r="K33" i="43"/>
  <c r="K34" i="43"/>
  <c r="K35" i="43"/>
  <c r="K36" i="43"/>
  <c r="K39" i="43"/>
  <c r="K40" i="43"/>
  <c r="K41" i="43"/>
  <c r="K42" i="43"/>
  <c r="K43" i="43"/>
  <c r="K44" i="43"/>
  <c r="K45" i="43"/>
  <c r="K49" i="43"/>
  <c r="K50" i="43"/>
  <c r="K8" i="43"/>
  <c r="J10" i="41"/>
  <c r="J9" i="43" s="1"/>
  <c r="J12" i="41"/>
  <c r="J11" i="43" s="1"/>
  <c r="J14" i="41"/>
  <c r="J13" i="43" s="1"/>
  <c r="J15" i="41"/>
  <c r="J14" i="43" s="1"/>
  <c r="J16" i="41"/>
  <c r="J15" i="43" s="1"/>
  <c r="J18" i="41"/>
  <c r="J17" i="43" s="1"/>
  <c r="J20" i="41"/>
  <c r="J19" i="43" s="1"/>
  <c r="J23" i="41"/>
  <c r="J22" i="43" s="1"/>
  <c r="J24" i="41"/>
  <c r="J23" i="43" s="1"/>
  <c r="J25" i="41"/>
  <c r="J24" i="43" s="1"/>
  <c r="J26" i="41"/>
  <c r="J25" i="43" s="1"/>
  <c r="J27" i="41"/>
  <c r="J26" i="43" s="1"/>
  <c r="J31" i="41"/>
  <c r="J30" i="43" s="1"/>
  <c r="J32" i="41"/>
  <c r="J31" i="43" s="1"/>
  <c r="J33" i="41"/>
  <c r="J32" i="43" s="1"/>
  <c r="J34" i="41"/>
  <c r="J33" i="43" s="1"/>
  <c r="J35" i="41"/>
  <c r="J34" i="43" s="1"/>
  <c r="J36" i="41"/>
  <c r="J35" i="43" s="1"/>
  <c r="J37" i="41"/>
  <c r="J36" i="43" s="1"/>
  <c r="J40" i="41"/>
  <c r="J39" i="43" s="1"/>
  <c r="J41" i="41"/>
  <c r="J40" i="43" s="1"/>
  <c r="J42" i="41"/>
  <c r="J41" i="43" s="1"/>
  <c r="J43" i="41"/>
  <c r="J42" i="43" s="1"/>
  <c r="J44" i="41"/>
  <c r="J43" i="43" s="1"/>
  <c r="J45" i="41"/>
  <c r="J44" i="43" s="1"/>
  <c r="J46" i="41"/>
  <c r="J45" i="43" s="1"/>
  <c r="J50" i="41"/>
  <c r="J49" i="43" s="1"/>
  <c r="J9" i="41"/>
  <c r="J8" i="43" s="1"/>
  <c r="G10" i="41"/>
  <c r="G12" i="41"/>
  <c r="G11" i="43" s="1"/>
  <c r="G14" i="41"/>
  <c r="G15" i="41"/>
  <c r="G14" i="43" s="1"/>
  <c r="G16" i="41"/>
  <c r="G15" i="43" s="1"/>
  <c r="G18" i="41"/>
  <c r="G17" i="43" s="1"/>
  <c r="G19" i="41"/>
  <c r="G20" i="41"/>
  <c r="G23" i="41"/>
  <c r="G22" i="43" s="1"/>
  <c r="G24" i="41"/>
  <c r="G23" i="43" s="1"/>
  <c r="G25" i="41"/>
  <c r="G24" i="43" s="1"/>
  <c r="G26" i="41"/>
  <c r="G25" i="43" s="1"/>
  <c r="G27" i="41"/>
  <c r="G26" i="43" s="1"/>
  <c r="G31" i="41"/>
  <c r="G30" i="43" s="1"/>
  <c r="G32" i="41"/>
  <c r="G31" i="43" s="1"/>
  <c r="G33" i="41"/>
  <c r="G32" i="43" s="1"/>
  <c r="G34" i="41"/>
  <c r="G35" i="41"/>
  <c r="G36" i="41"/>
  <c r="G35" i="43" s="1"/>
  <c r="G37" i="41"/>
  <c r="G36" i="43" s="1"/>
  <c r="G40" i="41"/>
  <c r="G39" i="43" s="1"/>
  <c r="G41" i="41"/>
  <c r="G40" i="43" s="1"/>
  <c r="G42" i="41"/>
  <c r="G41" i="43" s="1"/>
  <c r="G43" i="41"/>
  <c r="G42" i="43" s="1"/>
  <c r="G44" i="41"/>
  <c r="G43" i="43" s="1"/>
  <c r="G45" i="41"/>
  <c r="G44" i="43" s="1"/>
  <c r="G46" i="41"/>
  <c r="G45" i="43" s="1"/>
  <c r="G50" i="41"/>
  <c r="G49" i="43" s="1"/>
  <c r="G51" i="41"/>
  <c r="G50" i="43" s="1"/>
  <c r="G9" i="41"/>
  <c r="E14" i="43" l="1"/>
  <c r="IH20" i="23"/>
  <c r="IH57" i="23" s="1"/>
  <c r="Y19" i="43"/>
  <c r="AA19" i="43" s="1"/>
  <c r="G86" i="101"/>
  <c r="F82" i="101"/>
  <c r="N39" i="43"/>
  <c r="N35" i="43"/>
  <c r="N31" i="43"/>
  <c r="N23" i="43"/>
  <c r="N15" i="43"/>
  <c r="N11" i="43"/>
  <c r="AA16" i="43" s="1"/>
  <c r="N51" i="41"/>
  <c r="N45" i="41"/>
  <c r="N40" i="41"/>
  <c r="N35" i="41"/>
  <c r="N31" i="41"/>
  <c r="N25" i="41"/>
  <c r="N18" i="41"/>
  <c r="N50" i="43"/>
  <c r="N30" i="43"/>
  <c r="N26" i="43"/>
  <c r="N22" i="43"/>
  <c r="N14" i="43"/>
  <c r="N50" i="41"/>
  <c r="N34" i="41"/>
  <c r="N24" i="41"/>
  <c r="N16" i="41"/>
  <c r="N12" i="41"/>
  <c r="N49" i="43"/>
  <c r="N45" i="43"/>
  <c r="N25" i="43"/>
  <c r="N17" i="43"/>
  <c r="AA14" i="43" s="1"/>
  <c r="N13" i="43"/>
  <c r="N42" i="41"/>
  <c r="N37" i="41"/>
  <c r="N33" i="41"/>
  <c r="N27" i="41"/>
  <c r="N23" i="41"/>
  <c r="N15" i="41"/>
  <c r="N44" i="43"/>
  <c r="N36" i="43"/>
  <c r="N32" i="43"/>
  <c r="N24" i="43"/>
  <c r="N46" i="41"/>
  <c r="N36" i="41"/>
  <c r="N32" i="41"/>
  <c r="N26" i="41"/>
  <c r="N14" i="41"/>
  <c r="N16" i="43"/>
  <c r="N17" i="41"/>
  <c r="N20" i="41"/>
  <c r="N19" i="43"/>
  <c r="AA11" i="43" s="1"/>
  <c r="D12" i="41"/>
  <c r="D14" i="41"/>
  <c r="D15" i="41"/>
  <c r="D16" i="41"/>
  <c r="D18" i="41"/>
  <c r="D23" i="41"/>
  <c r="D24" i="41"/>
  <c r="D25" i="41"/>
  <c r="D26" i="41"/>
  <c r="D27" i="41"/>
  <c r="D31" i="41"/>
  <c r="D32" i="41"/>
  <c r="D33" i="41"/>
  <c r="D34" i="41"/>
  <c r="D35" i="41"/>
  <c r="D36" i="41"/>
  <c r="D37" i="41"/>
  <c r="D40" i="41"/>
  <c r="D42" i="41"/>
  <c r="D45" i="41"/>
  <c r="D46" i="41"/>
  <c r="D50" i="41"/>
  <c r="D51" i="41"/>
  <c r="IH61" i="23" l="1"/>
  <c r="AA12" i="43"/>
  <c r="AA15" i="43"/>
  <c r="E38" i="74"/>
  <c r="E29" i="74"/>
  <c r="E22" i="74"/>
  <c r="E13" i="74"/>
  <c r="E28" i="74" s="1"/>
  <c r="Z9" i="74"/>
  <c r="Z10" i="74"/>
  <c r="Z11" i="74"/>
  <c r="Z12" i="74"/>
  <c r="Z14" i="74"/>
  <c r="Z15" i="74"/>
  <c r="Z16" i="74"/>
  <c r="Z18" i="74"/>
  <c r="Z19" i="74"/>
  <c r="Z20" i="74"/>
  <c r="Z23" i="74"/>
  <c r="Z24" i="74"/>
  <c r="Z25" i="74"/>
  <c r="Z26" i="74"/>
  <c r="Z27" i="74"/>
  <c r="Z31" i="74"/>
  <c r="Z32" i="74"/>
  <c r="Z33" i="74"/>
  <c r="Z34" i="74"/>
  <c r="Z35" i="74"/>
  <c r="Z36" i="74"/>
  <c r="Z37" i="74"/>
  <c r="Z40" i="74"/>
  <c r="Z42" i="74"/>
  <c r="Z45" i="74"/>
  <c r="Z46" i="74"/>
  <c r="Z50" i="74"/>
  <c r="Z51" i="74"/>
  <c r="E38" i="73"/>
  <c r="AC38" i="73" s="1"/>
  <c r="E29" i="73"/>
  <c r="AC29" i="73" s="1"/>
  <c r="E22" i="73"/>
  <c r="G22" i="73"/>
  <c r="H22" i="73"/>
  <c r="J22" i="73"/>
  <c r="K22" i="73"/>
  <c r="M22" i="73"/>
  <c r="N22" i="73"/>
  <c r="H22" i="41" s="1"/>
  <c r="P22" i="73"/>
  <c r="Q22" i="73"/>
  <c r="Y22" i="73"/>
  <c r="Z22" i="73"/>
  <c r="E13" i="73"/>
  <c r="AC22" i="73" l="1"/>
  <c r="E28" i="73"/>
  <c r="AC28" i="73" s="1"/>
  <c r="AC13" i="73"/>
  <c r="Z38" i="74"/>
  <c r="Z29" i="74"/>
  <c r="E44" i="74" s="1"/>
  <c r="E30" i="74"/>
  <c r="Z13" i="74"/>
  <c r="Z21" i="74" s="1"/>
  <c r="Z22" i="74"/>
  <c r="E21" i="74"/>
  <c r="E44" i="73"/>
  <c r="AC44" i="73" s="1"/>
  <c r="H21" i="74"/>
  <c r="E21" i="73"/>
  <c r="AC21" i="73" s="1"/>
  <c r="Z41" i="74"/>
  <c r="E30" i="73"/>
  <c r="AC30" i="73" s="1"/>
  <c r="E38" i="35"/>
  <c r="AC38" i="35" s="1"/>
  <c r="E29" i="35"/>
  <c r="AC29" i="35" s="1"/>
  <c r="E22" i="35"/>
  <c r="AC22" i="35" s="1"/>
  <c r="E13" i="35"/>
  <c r="E21" i="35" l="1"/>
  <c r="AC21" i="35" s="1"/>
  <c r="AC13" i="35"/>
  <c r="Z28" i="74"/>
  <c r="Z30" i="74" s="1"/>
  <c r="E44" i="35"/>
  <c r="AC44" i="35" s="1"/>
  <c r="H14" i="29"/>
  <c r="I14" i="29" s="1"/>
  <c r="Z44" i="74"/>
  <c r="E43" i="73"/>
  <c r="E28" i="35"/>
  <c r="E43" i="74"/>
  <c r="Z43" i="74" s="1"/>
  <c r="E48" i="74"/>
  <c r="E48" i="73"/>
  <c r="AC48" i="73" s="1"/>
  <c r="AF11" i="40"/>
  <c r="H11" i="41" s="1"/>
  <c r="BJ10" i="40"/>
  <c r="E38" i="40"/>
  <c r="G38" i="40"/>
  <c r="H38" i="40"/>
  <c r="E29" i="40"/>
  <c r="E22" i="40"/>
  <c r="E13" i="40"/>
  <c r="E21" i="40" s="1"/>
  <c r="G13" i="41"/>
  <c r="BJ9" i="40"/>
  <c r="BJ12" i="40"/>
  <c r="BJ14" i="40"/>
  <c r="BJ15" i="40"/>
  <c r="BJ16" i="40"/>
  <c r="BJ18" i="40"/>
  <c r="BJ19" i="40"/>
  <c r="BJ20" i="40"/>
  <c r="BJ23" i="40"/>
  <c r="BJ24" i="40"/>
  <c r="BJ25" i="40"/>
  <c r="BJ26" i="40"/>
  <c r="BJ27" i="40"/>
  <c r="BJ32" i="40"/>
  <c r="BJ33" i="40"/>
  <c r="BJ34" i="40"/>
  <c r="BJ35" i="40"/>
  <c r="BJ36" i="40"/>
  <c r="BJ37" i="40"/>
  <c r="BJ40" i="40"/>
  <c r="BJ41" i="40"/>
  <c r="BJ42" i="40"/>
  <c r="BJ45" i="40"/>
  <c r="BJ46" i="40"/>
  <c r="BJ50" i="40"/>
  <c r="Z41" i="39"/>
  <c r="E38" i="39"/>
  <c r="E29" i="39"/>
  <c r="E22" i="39"/>
  <c r="E13" i="39"/>
  <c r="E21" i="39" s="1"/>
  <c r="Z9" i="39"/>
  <c r="Z10" i="39"/>
  <c r="Z12" i="39"/>
  <c r="Z14" i="39"/>
  <c r="Z15" i="39"/>
  <c r="Z16" i="39"/>
  <c r="Z17" i="39"/>
  <c r="Z18" i="39"/>
  <c r="Z19" i="39"/>
  <c r="Z20" i="39"/>
  <c r="Z23" i="39"/>
  <c r="Z24" i="39"/>
  <c r="Z25" i="39"/>
  <c r="Z26" i="39"/>
  <c r="Z27" i="39"/>
  <c r="Z31" i="39"/>
  <c r="Z32" i="39"/>
  <c r="Z33" i="39"/>
  <c r="Z34" i="39"/>
  <c r="Z35" i="39"/>
  <c r="Z36" i="39"/>
  <c r="Z37" i="39"/>
  <c r="Z40" i="39"/>
  <c r="Z42" i="39"/>
  <c r="Z45" i="39"/>
  <c r="Z46" i="39"/>
  <c r="Z50" i="39"/>
  <c r="Z51" i="39"/>
  <c r="J29" i="36"/>
  <c r="T10" i="36"/>
  <c r="E38" i="36"/>
  <c r="E29" i="36"/>
  <c r="E22" i="36"/>
  <c r="E13" i="36"/>
  <c r="E28" i="36" s="1"/>
  <c r="T9" i="36"/>
  <c r="T11" i="36"/>
  <c r="T12" i="36"/>
  <c r="T14" i="36"/>
  <c r="T15" i="36"/>
  <c r="T16" i="36"/>
  <c r="T17" i="36"/>
  <c r="T18" i="36"/>
  <c r="T19" i="36"/>
  <c r="T20" i="36"/>
  <c r="T23" i="36"/>
  <c r="T24" i="36"/>
  <c r="T25" i="36"/>
  <c r="T26" i="36"/>
  <c r="T27" i="36"/>
  <c r="T31" i="36"/>
  <c r="T32" i="36"/>
  <c r="T33" i="36"/>
  <c r="T34" i="36"/>
  <c r="T35" i="36"/>
  <c r="T36" i="36"/>
  <c r="T37" i="36"/>
  <c r="T40" i="36"/>
  <c r="T41" i="36"/>
  <c r="T42" i="36"/>
  <c r="T45" i="36"/>
  <c r="T46" i="36"/>
  <c r="T50" i="36"/>
  <c r="E38" i="38"/>
  <c r="E29" i="38"/>
  <c r="E22" i="38"/>
  <c r="E13" i="38"/>
  <c r="E28" i="38" s="1"/>
  <c r="W10" i="38"/>
  <c r="W11" i="38"/>
  <c r="W12" i="38"/>
  <c r="W14" i="38"/>
  <c r="W15" i="38"/>
  <c r="W16" i="38"/>
  <c r="W17" i="38"/>
  <c r="W18" i="38"/>
  <c r="W19" i="38"/>
  <c r="W20" i="38"/>
  <c r="W23" i="38"/>
  <c r="W24" i="38"/>
  <c r="W25" i="38"/>
  <c r="W26" i="38"/>
  <c r="W27" i="38"/>
  <c r="W31" i="38"/>
  <c r="W32" i="38"/>
  <c r="W33" i="38"/>
  <c r="W34" i="38"/>
  <c r="W35" i="38"/>
  <c r="W36" i="38"/>
  <c r="W37" i="38"/>
  <c r="W40" i="38"/>
  <c r="W41" i="38"/>
  <c r="W42" i="38"/>
  <c r="W45" i="38"/>
  <c r="W46" i="38"/>
  <c r="W50" i="38"/>
  <c r="W51" i="38"/>
  <c r="AC41" i="37"/>
  <c r="E38" i="37"/>
  <c r="D38" i="37"/>
  <c r="E29" i="37"/>
  <c r="E22" i="37"/>
  <c r="E13" i="37"/>
  <c r="AC9" i="37"/>
  <c r="AC10" i="37"/>
  <c r="AC12" i="37"/>
  <c r="AC14" i="37"/>
  <c r="AC15" i="37"/>
  <c r="AC16" i="37"/>
  <c r="AC17" i="37"/>
  <c r="AC18" i="37"/>
  <c r="AC19" i="37"/>
  <c r="AC20" i="37"/>
  <c r="AC23" i="37"/>
  <c r="AC24" i="37"/>
  <c r="AC25" i="37"/>
  <c r="AC26" i="37"/>
  <c r="AC27" i="37"/>
  <c r="AC31" i="37"/>
  <c r="AC32" i="37"/>
  <c r="AC33" i="37"/>
  <c r="AC34" i="37"/>
  <c r="AC35" i="37"/>
  <c r="AC36" i="37"/>
  <c r="AC37" i="37"/>
  <c r="AC40" i="37"/>
  <c r="AC42" i="37"/>
  <c r="AC45" i="37"/>
  <c r="AC46" i="37"/>
  <c r="AC50" i="37"/>
  <c r="AC51" i="37"/>
  <c r="E22" i="41" l="1"/>
  <c r="E38" i="41"/>
  <c r="E30" i="35"/>
  <c r="AC30" i="35" s="1"/>
  <c r="AC28" i="35"/>
  <c r="E21" i="37"/>
  <c r="E13" i="41"/>
  <c r="E39" i="73"/>
  <c r="AC39" i="73" s="1"/>
  <c r="AC43" i="73"/>
  <c r="W22" i="38"/>
  <c r="T22" i="36"/>
  <c r="AC13" i="37"/>
  <c r="W29" i="38"/>
  <c r="E44" i="38" s="1"/>
  <c r="H9" i="29" s="1"/>
  <c r="I9" i="29" s="1"/>
  <c r="T29" i="36"/>
  <c r="Z39" i="74"/>
  <c r="AC22" i="37"/>
  <c r="BJ13" i="40"/>
  <c r="Z22" i="39"/>
  <c r="Z29" i="39"/>
  <c r="E44" i="39" s="1"/>
  <c r="H15" i="29" s="1"/>
  <c r="I15" i="29" s="1"/>
  <c r="W28" i="39"/>
  <c r="W30" i="39" s="1"/>
  <c r="W21" i="39"/>
  <c r="BJ38" i="40"/>
  <c r="AF28" i="40"/>
  <c r="AF30" i="40" s="1"/>
  <c r="AF21" i="40"/>
  <c r="AC38" i="37"/>
  <c r="AC29" i="37"/>
  <c r="Z38" i="39"/>
  <c r="Z13" i="39"/>
  <c r="AC28" i="40"/>
  <c r="AC21" i="40"/>
  <c r="H21" i="41" s="1"/>
  <c r="W38" i="38"/>
  <c r="W13" i="38"/>
  <c r="W21" i="38" s="1"/>
  <c r="T38" i="36"/>
  <c r="T13" i="36"/>
  <c r="T21" i="36" s="1"/>
  <c r="BJ22" i="40"/>
  <c r="AI28" i="40"/>
  <c r="AI30" i="40" s="1"/>
  <c r="AI21" i="40"/>
  <c r="W21" i="40"/>
  <c r="W28" i="40"/>
  <c r="W30" i="40" s="1"/>
  <c r="BG21" i="40"/>
  <c r="BG28" i="40"/>
  <c r="BG30" i="40" s="1"/>
  <c r="H11" i="29"/>
  <c r="I11" i="29" s="1"/>
  <c r="Z48" i="74"/>
  <c r="E11" i="29"/>
  <c r="Z47" i="74"/>
  <c r="E39" i="74"/>
  <c r="E48" i="35"/>
  <c r="AC48" i="35" s="1"/>
  <c r="E28" i="40"/>
  <c r="E21" i="36"/>
  <c r="E47" i="73"/>
  <c r="AC47" i="73" s="1"/>
  <c r="E28" i="37"/>
  <c r="E30" i="37" s="1"/>
  <c r="E28" i="39"/>
  <c r="E30" i="39" s="1"/>
  <c r="E47" i="74"/>
  <c r="E49" i="74" s="1"/>
  <c r="E21" i="38"/>
  <c r="E30" i="36"/>
  <c r="AC11" i="37"/>
  <c r="AC28" i="37" s="1"/>
  <c r="Z11" i="39"/>
  <c r="Z21" i="39" s="1"/>
  <c r="E30" i="40"/>
  <c r="G39" i="41"/>
  <c r="G38" i="41"/>
  <c r="G22" i="41"/>
  <c r="G49" i="41"/>
  <c r="G48" i="41"/>
  <c r="G47" i="41"/>
  <c r="H13" i="29"/>
  <c r="I13" i="29" s="1"/>
  <c r="BJ11" i="40"/>
  <c r="BJ17" i="40"/>
  <c r="BJ29" i="40" s="1"/>
  <c r="E44" i="36"/>
  <c r="E30" i="38"/>
  <c r="E44" i="37"/>
  <c r="AN50" i="34"/>
  <c r="AO50" i="34"/>
  <c r="D41" i="34"/>
  <c r="AN41" i="34" s="1"/>
  <c r="N41" i="41"/>
  <c r="N10" i="41"/>
  <c r="AO10" i="34"/>
  <c r="AO12" i="34"/>
  <c r="AO14" i="34"/>
  <c r="AO15" i="34"/>
  <c r="AO16" i="34"/>
  <c r="AO17" i="34"/>
  <c r="AO18" i="34"/>
  <c r="AO20" i="34"/>
  <c r="AO23" i="34"/>
  <c r="AO24" i="34"/>
  <c r="AO25" i="34"/>
  <c r="AO26" i="34"/>
  <c r="AO27" i="34"/>
  <c r="AO31" i="34"/>
  <c r="AO32" i="34"/>
  <c r="AO33" i="34"/>
  <c r="AO34" i="34"/>
  <c r="AO35" i="34"/>
  <c r="AO36" i="34"/>
  <c r="AO37" i="34"/>
  <c r="AO40" i="34"/>
  <c r="AO42" i="34"/>
  <c r="AO45" i="34"/>
  <c r="AO46" i="34"/>
  <c r="AO51" i="34"/>
  <c r="AN12" i="34"/>
  <c r="AN14" i="34"/>
  <c r="AN15" i="34"/>
  <c r="AN16" i="34"/>
  <c r="AN18" i="34"/>
  <c r="AN23" i="34"/>
  <c r="AN24" i="34"/>
  <c r="AN25" i="34"/>
  <c r="AN26" i="34"/>
  <c r="AN27" i="34"/>
  <c r="AN31" i="34"/>
  <c r="AN32" i="34"/>
  <c r="AN33" i="34"/>
  <c r="AN34" i="34"/>
  <c r="AN35" i="34"/>
  <c r="AN36" i="34"/>
  <c r="AN37" i="34"/>
  <c r="AN40" i="34"/>
  <c r="AN42" i="34"/>
  <c r="AN45" i="34"/>
  <c r="AN46" i="34"/>
  <c r="AN51" i="34"/>
  <c r="E19" i="34"/>
  <c r="H19" i="34"/>
  <c r="J19" i="34"/>
  <c r="K19" i="34"/>
  <c r="M19" i="34"/>
  <c r="N19" i="34"/>
  <c r="N29" i="34" s="1"/>
  <c r="P19" i="34"/>
  <c r="Q19" i="34"/>
  <c r="S19" i="34"/>
  <c r="T19" i="34"/>
  <c r="V19" i="34"/>
  <c r="W19" i="34"/>
  <c r="Y19" i="34"/>
  <c r="Z19" i="34"/>
  <c r="AB19" i="34"/>
  <c r="AC19" i="34"/>
  <c r="AE19" i="34"/>
  <c r="AF19" i="34"/>
  <c r="AH19" i="34"/>
  <c r="AI19" i="34"/>
  <c r="AK19" i="34"/>
  <c r="AK29" i="34" s="1"/>
  <c r="AL19" i="34"/>
  <c r="AL29" i="34" s="1"/>
  <c r="E21" i="34" l="1"/>
  <c r="E19" i="41"/>
  <c r="E21" i="41" s="1"/>
  <c r="K19" i="41"/>
  <c r="AC30" i="40"/>
  <c r="H30" i="41" s="1"/>
  <c r="H28" i="41"/>
  <c r="E49" i="73"/>
  <c r="AC49" i="73" s="1"/>
  <c r="E43" i="35"/>
  <c r="E47" i="35" s="1"/>
  <c r="AN13" i="34"/>
  <c r="AO13" i="34"/>
  <c r="AC21" i="37"/>
  <c r="BJ21" i="40"/>
  <c r="AC30" i="37"/>
  <c r="E43" i="37"/>
  <c r="E10" i="29" s="1"/>
  <c r="Z28" i="39"/>
  <c r="Z30" i="39" s="1"/>
  <c r="BJ28" i="40"/>
  <c r="BJ30" i="40" s="1"/>
  <c r="T28" i="36"/>
  <c r="T30" i="36" s="1"/>
  <c r="AE29" i="34"/>
  <c r="AE30" i="34" s="1"/>
  <c r="AE21" i="34"/>
  <c r="Y29" i="34"/>
  <c r="Y30" i="34" s="1"/>
  <c r="Y21" i="34"/>
  <c r="S21" i="34"/>
  <c r="S29" i="34"/>
  <c r="S30" i="34" s="1"/>
  <c r="AO22" i="34"/>
  <c r="E14" i="29"/>
  <c r="AI29" i="34"/>
  <c r="AI30" i="34" s="1"/>
  <c r="AI21" i="34"/>
  <c r="AC29" i="34"/>
  <c r="AC30" i="34" s="1"/>
  <c r="AC21" i="34"/>
  <c r="W29" i="34"/>
  <c r="W30" i="34" s="1"/>
  <c r="W21" i="34"/>
  <c r="Q29" i="34"/>
  <c r="Q30" i="34" s="1"/>
  <c r="Q21" i="34"/>
  <c r="K29" i="34"/>
  <c r="K21" i="34"/>
  <c r="AN38" i="34"/>
  <c r="K10" i="43"/>
  <c r="N28" i="34"/>
  <c r="N21" i="34"/>
  <c r="H59" i="41"/>
  <c r="W28" i="38"/>
  <c r="W30" i="38" s="1"/>
  <c r="AF29" i="34"/>
  <c r="AF30" i="34" s="1"/>
  <c r="AF21" i="34"/>
  <c r="Z29" i="34"/>
  <c r="Z30" i="34" s="1"/>
  <c r="Z21" i="34"/>
  <c r="T29" i="34"/>
  <c r="T30" i="34" s="1"/>
  <c r="T21" i="34"/>
  <c r="H29" i="34"/>
  <c r="H30" i="34" s="1"/>
  <c r="H21" i="34"/>
  <c r="AO38" i="34"/>
  <c r="AH29" i="34"/>
  <c r="AH30" i="34" s="1"/>
  <c r="AH21" i="34"/>
  <c r="AB29" i="34"/>
  <c r="AB30" i="34" s="1"/>
  <c r="AB21" i="34"/>
  <c r="P29" i="34"/>
  <c r="P30" i="34" s="1"/>
  <c r="P21" i="34"/>
  <c r="AN22" i="34"/>
  <c r="AL28" i="34"/>
  <c r="AL21" i="34"/>
  <c r="Z49" i="74"/>
  <c r="J22" i="41"/>
  <c r="J21" i="43" s="1"/>
  <c r="E39" i="35"/>
  <c r="AC39" i="35" s="1"/>
  <c r="E43" i="39"/>
  <c r="E39" i="39" s="1"/>
  <c r="K37" i="43"/>
  <c r="E29" i="34"/>
  <c r="E29" i="41" s="1"/>
  <c r="K18" i="43"/>
  <c r="J38" i="41"/>
  <c r="J37" i="43" s="1"/>
  <c r="H10" i="29"/>
  <c r="I10" i="29" s="1"/>
  <c r="E48" i="37"/>
  <c r="AC44" i="37"/>
  <c r="AC48" i="37" s="1"/>
  <c r="K12" i="43"/>
  <c r="J19" i="41"/>
  <c r="J18" i="43" s="1"/>
  <c r="AO11" i="34"/>
  <c r="N11" i="41"/>
  <c r="T44" i="36"/>
  <c r="T48" i="36" s="1"/>
  <c r="H8" i="29"/>
  <c r="I8" i="29" s="1"/>
  <c r="E48" i="36"/>
  <c r="J47" i="41"/>
  <c r="J46" i="43" s="1"/>
  <c r="K47" i="43"/>
  <c r="K38" i="43"/>
  <c r="J48" i="41"/>
  <c r="J47" i="43" s="1"/>
  <c r="J13" i="41"/>
  <c r="J12" i="43" s="1"/>
  <c r="K21" i="43"/>
  <c r="J39" i="41"/>
  <c r="J38" i="43" s="1"/>
  <c r="K46" i="43"/>
  <c r="E44" i="40"/>
  <c r="E48" i="40" s="1"/>
  <c r="E48" i="39"/>
  <c r="Z44" i="39"/>
  <c r="Z48" i="39" s="1"/>
  <c r="E48" i="38"/>
  <c r="W44" i="38"/>
  <c r="W48" i="38" s="1"/>
  <c r="AO19" i="34"/>
  <c r="AO29" i="34" s="1"/>
  <c r="E44" i="34" s="1"/>
  <c r="E44" i="41" l="1"/>
  <c r="E43" i="43" s="1"/>
  <c r="K21" i="41"/>
  <c r="AL30" i="34"/>
  <c r="E28" i="41"/>
  <c r="N30" i="34"/>
  <c r="K28" i="41"/>
  <c r="K30" i="34"/>
  <c r="K29" i="41"/>
  <c r="T9" i="41"/>
  <c r="AC47" i="35"/>
  <c r="E49" i="35"/>
  <c r="AC49" i="35" s="1"/>
  <c r="E13" i="29"/>
  <c r="AC43" i="35"/>
  <c r="E47" i="37"/>
  <c r="AC43" i="37"/>
  <c r="AC39" i="37" s="1"/>
  <c r="E39" i="37"/>
  <c r="E43" i="40"/>
  <c r="BJ43" i="40" s="1"/>
  <c r="AO21" i="34"/>
  <c r="E43" i="36"/>
  <c r="E8" i="29" s="1"/>
  <c r="AO28" i="34"/>
  <c r="AO30" i="34" s="1"/>
  <c r="E43" i="38"/>
  <c r="N22" i="41"/>
  <c r="E15" i="29"/>
  <c r="E47" i="39"/>
  <c r="Z43" i="39"/>
  <c r="N38" i="41"/>
  <c r="E48" i="34"/>
  <c r="E48" i="41" s="1"/>
  <c r="K48" i="43"/>
  <c r="J49" i="41"/>
  <c r="J48" i="43" s="1"/>
  <c r="N13" i="41"/>
  <c r="E30" i="34"/>
  <c r="E30" i="41" s="1"/>
  <c r="K27" i="43"/>
  <c r="K28" i="43"/>
  <c r="N19" i="41"/>
  <c r="AO44" i="34"/>
  <c r="AO48" i="34" s="1"/>
  <c r="H7" i="29"/>
  <c r="I7" i="29" s="1"/>
  <c r="BJ44" i="40"/>
  <c r="E49" i="37"/>
  <c r="K30" i="41" l="1"/>
  <c r="K29" i="43" s="1"/>
  <c r="E39" i="40"/>
  <c r="AC47" i="37"/>
  <c r="AC49" i="37" s="1"/>
  <c r="E47" i="40"/>
  <c r="E49" i="40" s="1"/>
  <c r="E43" i="34"/>
  <c r="E39" i="36"/>
  <c r="T43" i="36"/>
  <c r="T39" i="36" s="1"/>
  <c r="E47" i="36"/>
  <c r="E49" i="36" s="1"/>
  <c r="E9" i="29"/>
  <c r="E39" i="38"/>
  <c r="W43" i="38"/>
  <c r="E47" i="38"/>
  <c r="E49" i="38" s="1"/>
  <c r="BJ39" i="40"/>
  <c r="Z47" i="39"/>
  <c r="Z49" i="39" s="1"/>
  <c r="Z39" i="39"/>
  <c r="K20" i="43"/>
  <c r="K72" i="43" s="1"/>
  <c r="K59" i="41"/>
  <c r="E49" i="39"/>
  <c r="H12" i="29"/>
  <c r="BJ48" i="40"/>
  <c r="E12" i="29"/>
  <c r="BJ47" i="40"/>
  <c r="N21" i="41"/>
  <c r="N59" i="41" s="1"/>
  <c r="N28" i="41"/>
  <c r="N29" i="41"/>
  <c r="N48" i="41"/>
  <c r="N43" i="43"/>
  <c r="N44" i="41"/>
  <c r="N30" i="41" l="1"/>
  <c r="H16" i="29"/>
  <c r="Y18" i="43" s="1"/>
  <c r="AA18" i="43" s="1"/>
  <c r="I12" i="29"/>
  <c r="I16" i="29" s="1"/>
  <c r="E47" i="34"/>
  <c r="E43" i="41"/>
  <c r="E42" i="43" s="1"/>
  <c r="N42" i="43" s="1"/>
  <c r="AO43" i="34"/>
  <c r="AO39" i="34" s="1"/>
  <c r="E7" i="29"/>
  <c r="E16" i="29" s="1"/>
  <c r="E39" i="34"/>
  <c r="E39" i="41" s="1"/>
  <c r="N39" i="41" s="1"/>
  <c r="T47" i="36"/>
  <c r="T49" i="36" s="1"/>
  <c r="W47" i="38"/>
  <c r="W49" i="38" s="1"/>
  <c r="W39" i="38"/>
  <c r="AO47" i="34"/>
  <c r="AO49" i="34" s="1"/>
  <c r="BJ49" i="40"/>
  <c r="DU50" i="105"/>
  <c r="DU49" i="105"/>
  <c r="DK49" i="105"/>
  <c r="D49" i="43" s="1"/>
  <c r="H19" i="29" l="1"/>
  <c r="E49" i="34"/>
  <c r="E49" i="41" s="1"/>
  <c r="N49" i="41" s="1"/>
  <c r="N55" i="41" s="1"/>
  <c r="E47" i="41"/>
  <c r="N47" i="41" s="1"/>
  <c r="I22" i="29"/>
  <c r="I19" i="29"/>
  <c r="J19" i="29" s="1"/>
  <c r="N43" i="41"/>
  <c r="Y17" i="43"/>
  <c r="AA17" i="43" s="1"/>
  <c r="DT49" i="105"/>
  <c r="DU17" i="105"/>
  <c r="DU19" i="105"/>
  <c r="DU22" i="105"/>
  <c r="DU25" i="105"/>
  <c r="DU26" i="105"/>
  <c r="DU31" i="105"/>
  <c r="DU32" i="105"/>
  <c r="DU35" i="105"/>
  <c r="DU36" i="105"/>
  <c r="DU39" i="105"/>
  <c r="DU42" i="105"/>
  <c r="DU43" i="105"/>
  <c r="DU44" i="105"/>
  <c r="DU45" i="105"/>
  <c r="DU24" i="105"/>
  <c r="DK15" i="105"/>
  <c r="D15" i="43" s="1"/>
  <c r="DK19" i="105"/>
  <c r="DK22" i="105"/>
  <c r="D22" i="43" s="1"/>
  <c r="DK25" i="105"/>
  <c r="D25" i="43" s="1"/>
  <c r="DK26" i="105"/>
  <c r="D26" i="43" s="1"/>
  <c r="DK30" i="105"/>
  <c r="D30" i="43" s="1"/>
  <c r="DK31" i="105"/>
  <c r="D31" i="43" s="1"/>
  <c r="DK33" i="105"/>
  <c r="D33" i="43" s="1"/>
  <c r="DK34" i="105"/>
  <c r="D34" i="43" s="1"/>
  <c r="DK35" i="105"/>
  <c r="D35" i="43" s="1"/>
  <c r="DK36" i="105"/>
  <c r="D36" i="43" s="1"/>
  <c r="DK39" i="105"/>
  <c r="D39" i="43" s="1"/>
  <c r="DK42" i="105"/>
  <c r="DK43" i="105"/>
  <c r="DK44" i="105"/>
  <c r="D44" i="43" s="1"/>
  <c r="DK45" i="105"/>
  <c r="D45" i="43" s="1"/>
  <c r="DT30" i="105" l="1"/>
  <c r="DU23" i="105"/>
  <c r="E46" i="105"/>
  <c r="DZ46" i="105" s="1"/>
  <c r="E47" i="105"/>
  <c r="DZ47" i="105" s="1"/>
  <c r="E37" i="105"/>
  <c r="DZ37" i="105" s="1"/>
  <c r="E38" i="105"/>
  <c r="DZ38" i="105" s="1"/>
  <c r="E27" i="105"/>
  <c r="DZ27" i="105" s="1"/>
  <c r="E21" i="105"/>
  <c r="DZ21" i="105" s="1"/>
  <c r="E18" i="105"/>
  <c r="DZ18" i="105" s="1"/>
  <c r="E12" i="105"/>
  <c r="DZ12" i="105" s="1"/>
  <c r="HJ10" i="23"/>
  <c r="MY10" i="23" s="1"/>
  <c r="DL10" i="105" s="1"/>
  <c r="HG10" i="23"/>
  <c r="HD9" i="23"/>
  <c r="NA9" i="23" s="1"/>
  <c r="DO9" i="105" s="1"/>
  <c r="DU9" i="105" s="1"/>
  <c r="HA10" i="23"/>
  <c r="FB8" i="23"/>
  <c r="CZ10" i="23"/>
  <c r="NA10" i="23" s="1"/>
  <c r="AO40" i="23"/>
  <c r="NA34" i="23"/>
  <c r="DO34" i="105" s="1"/>
  <c r="E46" i="23"/>
  <c r="E47" i="23"/>
  <c r="MY47" i="23" s="1"/>
  <c r="E37" i="23"/>
  <c r="MY37" i="23" s="1"/>
  <c r="E38" i="23"/>
  <c r="D38" i="23"/>
  <c r="D37" i="23"/>
  <c r="E27" i="23"/>
  <c r="E21" i="23"/>
  <c r="MY21" i="23" s="1"/>
  <c r="D21" i="23"/>
  <c r="E18" i="23"/>
  <c r="D18" i="23"/>
  <c r="E12" i="23"/>
  <c r="D12" i="23"/>
  <c r="CA10" i="105"/>
  <c r="AW61" i="105"/>
  <c r="DQ57" i="105"/>
  <c r="DX53" i="105"/>
  <c r="DW53" i="105"/>
  <c r="DW56" i="105" s="1"/>
  <c r="DQ53" i="105"/>
  <c r="DN53" i="105"/>
  <c r="DK53" i="105"/>
  <c r="DH53" i="105"/>
  <c r="DE53" i="105"/>
  <c r="DB53" i="105"/>
  <c r="CY53" i="105"/>
  <c r="CM53" i="105"/>
  <c r="CJ53" i="105"/>
  <c r="CG53" i="105"/>
  <c r="CD53" i="105"/>
  <c r="CA53" i="105"/>
  <c r="BX53" i="105"/>
  <c r="BU53" i="105"/>
  <c r="BR53" i="105"/>
  <c r="BO53" i="105"/>
  <c r="BL53" i="105"/>
  <c r="BI53" i="105"/>
  <c r="BF53" i="105"/>
  <c r="BC53" i="105"/>
  <c r="AZ53" i="105"/>
  <c r="AW53" i="105"/>
  <c r="AT53" i="105"/>
  <c r="AQ53" i="105"/>
  <c r="AB53" i="105"/>
  <c r="P53" i="105"/>
  <c r="D53" i="105"/>
  <c r="DQ52" i="105"/>
  <c r="DN52" i="105"/>
  <c r="DK52" i="105"/>
  <c r="DH52" i="105"/>
  <c r="DE52" i="105"/>
  <c r="DB52" i="105"/>
  <c r="CY52" i="105"/>
  <c r="CM52" i="105"/>
  <c r="CJ52" i="105"/>
  <c r="CG52" i="105"/>
  <c r="CD52" i="105"/>
  <c r="CA52" i="105"/>
  <c r="BX52" i="105"/>
  <c r="BU52" i="105"/>
  <c r="BR52" i="105"/>
  <c r="BO52" i="105"/>
  <c r="BL52" i="105"/>
  <c r="BI52" i="105"/>
  <c r="BF52" i="105"/>
  <c r="BC52" i="105"/>
  <c r="AZ52" i="105"/>
  <c r="AW52" i="105"/>
  <c r="AT52" i="105"/>
  <c r="AQ52" i="105"/>
  <c r="AB52" i="105"/>
  <c r="P52" i="105"/>
  <c r="D52" i="105"/>
  <c r="DQ51" i="105"/>
  <c r="DN51" i="105"/>
  <c r="DK51" i="105"/>
  <c r="DH51" i="105"/>
  <c r="DE51" i="105"/>
  <c r="DB51" i="105"/>
  <c r="CY51" i="105"/>
  <c r="CM51" i="105"/>
  <c r="CJ51" i="105"/>
  <c r="CG51" i="105"/>
  <c r="CD51" i="105"/>
  <c r="CA51" i="105"/>
  <c r="BX51" i="105"/>
  <c r="BU51" i="105"/>
  <c r="BR51" i="105"/>
  <c r="BO51" i="105"/>
  <c r="BL51" i="105"/>
  <c r="BI51" i="105"/>
  <c r="BF51" i="105"/>
  <c r="BC51" i="105"/>
  <c r="AZ51" i="105"/>
  <c r="AW51" i="105"/>
  <c r="AT51" i="105"/>
  <c r="AQ51" i="105"/>
  <c r="AB51" i="105"/>
  <c r="P51" i="105"/>
  <c r="D51" i="105"/>
  <c r="D47" i="105"/>
  <c r="D46" i="105"/>
  <c r="D38" i="105"/>
  <c r="D37" i="105"/>
  <c r="DH32" i="105"/>
  <c r="DB32" i="105"/>
  <c r="ED30" i="105"/>
  <c r="ED21" i="105"/>
  <c r="D21" i="105"/>
  <c r="EE19" i="105"/>
  <c r="BU19" i="105"/>
  <c r="BU18" i="105" s="1"/>
  <c r="AT19" i="105"/>
  <c r="AT18" i="105" s="1"/>
  <c r="AQ19" i="105"/>
  <c r="AQ18" i="105" s="1"/>
  <c r="D18" i="105"/>
  <c r="D28" i="105" s="1"/>
  <c r="EE17" i="105"/>
  <c r="EE16" i="105"/>
  <c r="CS13" i="105"/>
  <c r="CM13" i="105"/>
  <c r="CJ13" i="105"/>
  <c r="CG13" i="105"/>
  <c r="CD13" i="105"/>
  <c r="CA13" i="105"/>
  <c r="BU13" i="105"/>
  <c r="BO13" i="105"/>
  <c r="BF13" i="105"/>
  <c r="BC13" i="105"/>
  <c r="AZ13" i="105"/>
  <c r="D12" i="105"/>
  <c r="EE11" i="105"/>
  <c r="AK11" i="105"/>
  <c r="AE11" i="105"/>
  <c r="AB11" i="105"/>
  <c r="V11" i="105"/>
  <c r="S11" i="105"/>
  <c r="P11" i="105"/>
  <c r="M11" i="105"/>
  <c r="J11" i="105"/>
  <c r="G11" i="105"/>
  <c r="D11" i="105"/>
  <c r="EE10" i="105"/>
  <c r="EE18" i="105" s="1"/>
  <c r="CP10" i="105"/>
  <c r="MY18" i="23" l="1"/>
  <c r="DL18" i="105" s="1"/>
  <c r="E18" i="43" s="1"/>
  <c r="NA8" i="23"/>
  <c r="DO8" i="105" s="1"/>
  <c r="MY12" i="23"/>
  <c r="DL12" i="105"/>
  <c r="DL62" i="105" s="1"/>
  <c r="MY40" i="23"/>
  <c r="DL40" i="105" s="1"/>
  <c r="E40" i="43" s="1"/>
  <c r="N40" i="43" s="1"/>
  <c r="DL47" i="105"/>
  <c r="E47" i="43" s="1"/>
  <c r="E10" i="43"/>
  <c r="DL21" i="105"/>
  <c r="E21" i="43" s="1"/>
  <c r="DO10" i="105"/>
  <c r="DU10" i="105" s="1"/>
  <c r="DL37" i="105"/>
  <c r="E37" i="43" s="1"/>
  <c r="BC54" i="105"/>
  <c r="CW27" i="23"/>
  <c r="CW20" i="23"/>
  <c r="FB27" i="23"/>
  <c r="FB29" i="23" s="1"/>
  <c r="FB20" i="23"/>
  <c r="FB57" i="23" s="1"/>
  <c r="HJ27" i="23"/>
  <c r="HJ29" i="23" s="1"/>
  <c r="HJ20" i="23"/>
  <c r="HJ57" i="23" s="1"/>
  <c r="AO38" i="23"/>
  <c r="AO46" i="23"/>
  <c r="AO48" i="23" s="1"/>
  <c r="CZ27" i="23"/>
  <c r="CZ29" i="23" s="1"/>
  <c r="CZ20" i="23"/>
  <c r="CZ57" i="23" s="1"/>
  <c r="HA27" i="23"/>
  <c r="HA29" i="23" s="1"/>
  <c r="HA20" i="23"/>
  <c r="HA57" i="23" s="1"/>
  <c r="CP27" i="105"/>
  <c r="CP29" i="105" s="1"/>
  <c r="CP20" i="105"/>
  <c r="CP58" i="105" s="1"/>
  <c r="BA27" i="23"/>
  <c r="BA29" i="23" s="1"/>
  <c r="BA20" i="23"/>
  <c r="BA57" i="23" s="1"/>
  <c r="DI57" i="23"/>
  <c r="DI27" i="23"/>
  <c r="DI29" i="23" s="1"/>
  <c r="HD27" i="23"/>
  <c r="HD29" i="23" s="1"/>
  <c r="HD20" i="23"/>
  <c r="HD57" i="23" s="1"/>
  <c r="AL47" i="23"/>
  <c r="AL37" i="23"/>
  <c r="NA37" i="23" s="1"/>
  <c r="DO37" i="105" s="1"/>
  <c r="H37" i="43" s="1"/>
  <c r="CH27" i="23"/>
  <c r="CH29" i="23" s="1"/>
  <c r="CH20" i="23"/>
  <c r="CH57" i="23" s="1"/>
  <c r="EM27" i="23"/>
  <c r="EM29" i="23" s="1"/>
  <c r="EM20" i="23"/>
  <c r="EM57" i="23" s="1"/>
  <c r="HG27" i="23"/>
  <c r="HG29" i="23" s="1"/>
  <c r="HG20" i="23"/>
  <c r="HG57" i="23" s="1"/>
  <c r="G27" i="105"/>
  <c r="G29" i="105" s="1"/>
  <c r="G20" i="105"/>
  <c r="G58" i="105" s="1"/>
  <c r="S27" i="105"/>
  <c r="S29" i="105" s="1"/>
  <c r="S20" i="105"/>
  <c r="S58" i="105" s="1"/>
  <c r="AK27" i="105"/>
  <c r="AK29" i="105" s="1"/>
  <c r="AK20" i="105"/>
  <c r="AK58" i="105" s="1"/>
  <c r="BC27" i="105"/>
  <c r="BC29" i="105" s="1"/>
  <c r="BC12" i="105"/>
  <c r="BC20" i="105" s="1"/>
  <c r="BC58" i="105" s="1"/>
  <c r="CA27" i="105"/>
  <c r="CA12" i="105"/>
  <c r="CA62" i="105" s="1"/>
  <c r="CM27" i="105"/>
  <c r="CM29" i="105" s="1"/>
  <c r="CM12" i="105"/>
  <c r="CM20" i="105" s="1"/>
  <c r="CM58" i="105" s="1"/>
  <c r="BU28" i="105"/>
  <c r="P27" i="105"/>
  <c r="P29" i="105" s="1"/>
  <c r="P20" i="105"/>
  <c r="P58" i="105" s="1"/>
  <c r="AE27" i="105"/>
  <c r="AE29" i="105" s="1"/>
  <c r="AE20" i="105"/>
  <c r="AE58" i="105" s="1"/>
  <c r="AZ27" i="105"/>
  <c r="AZ29" i="105" s="1"/>
  <c r="AZ12" i="105"/>
  <c r="AZ20" i="105" s="1"/>
  <c r="AZ58" i="105" s="1"/>
  <c r="BU12" i="105"/>
  <c r="BU20" i="105" s="1"/>
  <c r="BU58" i="105" s="1"/>
  <c r="BU27" i="105"/>
  <c r="BU29" i="105" s="1"/>
  <c r="CJ27" i="105"/>
  <c r="CJ29" i="105" s="1"/>
  <c r="CJ12" i="105"/>
  <c r="CJ20" i="105" s="1"/>
  <c r="CJ58" i="105" s="1"/>
  <c r="AT20" i="105"/>
  <c r="AT58" i="105" s="1"/>
  <c r="AT28" i="105"/>
  <c r="AT29" i="105" s="1"/>
  <c r="J27" i="105"/>
  <c r="J29" i="105" s="1"/>
  <c r="J20" i="105"/>
  <c r="J58" i="105" s="1"/>
  <c r="V27" i="105"/>
  <c r="V29" i="105" s="1"/>
  <c r="V20" i="105"/>
  <c r="V58" i="105" s="1"/>
  <c r="BF27" i="105"/>
  <c r="BF29" i="105" s="1"/>
  <c r="BF12" i="105"/>
  <c r="BF20" i="105" s="1"/>
  <c r="BF58" i="105" s="1"/>
  <c r="CD27" i="105"/>
  <c r="CD29" i="105" s="1"/>
  <c r="CD12" i="105"/>
  <c r="CD20" i="105" s="1"/>
  <c r="CD58" i="105" s="1"/>
  <c r="CS12" i="105"/>
  <c r="CS20" i="105" s="1"/>
  <c r="CS58" i="105" s="1"/>
  <c r="CS27" i="105"/>
  <c r="CS29" i="105" s="1"/>
  <c r="DB37" i="105"/>
  <c r="DB46" i="105"/>
  <c r="DB48" i="105" s="1"/>
  <c r="M27" i="105"/>
  <c r="M29" i="105" s="1"/>
  <c r="M20" i="105"/>
  <c r="M58" i="105" s="1"/>
  <c r="AB27" i="105"/>
  <c r="AB29" i="105" s="1"/>
  <c r="AB20" i="105"/>
  <c r="AB58" i="105" s="1"/>
  <c r="BO27" i="105"/>
  <c r="BO29" i="105" s="1"/>
  <c r="BO12" i="105"/>
  <c r="BO20" i="105" s="1"/>
  <c r="BO58" i="105" s="1"/>
  <c r="CG12" i="105"/>
  <c r="CG20" i="105" s="1"/>
  <c r="CG58" i="105" s="1"/>
  <c r="CG27" i="105"/>
  <c r="CG29" i="105" s="1"/>
  <c r="CA20" i="105"/>
  <c r="CA58" i="105" s="1"/>
  <c r="CA28" i="105"/>
  <c r="AQ28" i="105"/>
  <c r="AQ29" i="105" s="1"/>
  <c r="AQ20" i="105"/>
  <c r="AQ58" i="105" s="1"/>
  <c r="DH46" i="105"/>
  <c r="DH48" i="105" s="1"/>
  <c r="DH37" i="105"/>
  <c r="DM48" i="105"/>
  <c r="H21" i="43"/>
  <c r="E48" i="23"/>
  <c r="MY48" i="23" s="1"/>
  <c r="DU34" i="105"/>
  <c r="AA21" i="43"/>
  <c r="H9" i="43"/>
  <c r="DN13" i="105"/>
  <c r="G13" i="43" s="1"/>
  <c r="E28" i="105"/>
  <c r="DZ28" i="105" s="1"/>
  <c r="DN21" i="105"/>
  <c r="G21" i="43" s="1"/>
  <c r="H38" i="43"/>
  <c r="DN38" i="105"/>
  <c r="G38" i="43" s="1"/>
  <c r="H18" i="43"/>
  <c r="H12" i="43"/>
  <c r="E48" i="105"/>
  <c r="DZ48" i="105" s="1"/>
  <c r="E28" i="23"/>
  <c r="E20" i="23"/>
  <c r="D27" i="105"/>
  <c r="D29" i="105" s="1"/>
  <c r="DK11" i="105"/>
  <c r="D11" i="43" s="1"/>
  <c r="DV20" i="105"/>
  <c r="DV58" i="105" s="1"/>
  <c r="DK32" i="105"/>
  <c r="D32" i="43" s="1"/>
  <c r="AQ54" i="105"/>
  <c r="BO54" i="105"/>
  <c r="CA54" i="105"/>
  <c r="CM54" i="105"/>
  <c r="DH54" i="105"/>
  <c r="D54" i="105"/>
  <c r="AT54" i="105"/>
  <c r="BF54" i="105"/>
  <c r="BR54" i="105"/>
  <c r="CD54" i="105"/>
  <c r="CY54" i="105"/>
  <c r="DK54" i="105"/>
  <c r="DK18" i="105"/>
  <c r="H46" i="43"/>
  <c r="N41" i="43"/>
  <c r="DU41" i="105"/>
  <c r="E20" i="105"/>
  <c r="DZ20" i="105" s="1"/>
  <c r="E29" i="105"/>
  <c r="DZ29" i="105" s="1"/>
  <c r="DT42" i="105"/>
  <c r="D20" i="105"/>
  <c r="DT15" i="105"/>
  <c r="DT43" i="105"/>
  <c r="DT25" i="105"/>
  <c r="D48" i="105"/>
  <c r="P54" i="105"/>
  <c r="BI54" i="105"/>
  <c r="CG54" i="105"/>
  <c r="DB54" i="105"/>
  <c r="DT22" i="105"/>
  <c r="DT39" i="105"/>
  <c r="DT44" i="105"/>
  <c r="DT45" i="105"/>
  <c r="AB54" i="105"/>
  <c r="AZ54" i="105"/>
  <c r="BL54" i="105"/>
  <c r="BX54" i="105"/>
  <c r="CJ54" i="105"/>
  <c r="DE54" i="105"/>
  <c r="DQ54" i="105"/>
  <c r="AW54" i="105"/>
  <c r="BU54" i="105"/>
  <c r="DN54" i="105"/>
  <c r="DT26" i="105"/>
  <c r="EE20" i="105"/>
  <c r="DT31" i="105"/>
  <c r="DT35" i="105"/>
  <c r="DT36" i="105"/>
  <c r="DW51" i="105"/>
  <c r="DW54" i="105" s="1"/>
  <c r="MY20" i="23" l="1"/>
  <c r="N67" i="43"/>
  <c r="BU62" i="105"/>
  <c r="DU8" i="105"/>
  <c r="H8" i="43"/>
  <c r="MY28" i="23"/>
  <c r="DL28" i="105" s="1"/>
  <c r="E28" i="43" s="1"/>
  <c r="MY27" i="23"/>
  <c r="DL27" i="105" s="1"/>
  <c r="NA20" i="23"/>
  <c r="E12" i="43"/>
  <c r="CG62" i="105"/>
  <c r="AZ62" i="105"/>
  <c r="BF62" i="105"/>
  <c r="DL20" i="105"/>
  <c r="BO62" i="105"/>
  <c r="CS62" i="105"/>
  <c r="CM62" i="105"/>
  <c r="DK37" i="105"/>
  <c r="MY38" i="23"/>
  <c r="DL38" i="105" s="1"/>
  <c r="CD62" i="105"/>
  <c r="MY46" i="23"/>
  <c r="CJ62" i="105"/>
  <c r="BC62" i="105"/>
  <c r="DU12" i="105"/>
  <c r="DU62" i="105" s="1"/>
  <c r="H10" i="43"/>
  <c r="N10" i="43" s="1"/>
  <c r="DL48" i="105"/>
  <c r="E48" i="43" s="1"/>
  <c r="CW57" i="23"/>
  <c r="DO20" i="105"/>
  <c r="DL46" i="105"/>
  <c r="E46" i="43" s="1"/>
  <c r="N46" i="43" s="1"/>
  <c r="AL48" i="23"/>
  <c r="NA48" i="23" s="1"/>
  <c r="DO48" i="105" s="1"/>
  <c r="H48" i="43" s="1"/>
  <c r="NA47" i="23"/>
  <c r="DO47" i="105" s="1"/>
  <c r="H47" i="43" s="1"/>
  <c r="N47" i="43" s="1"/>
  <c r="CW29" i="23"/>
  <c r="NA29" i="23" s="1"/>
  <c r="DO29" i="105" s="1"/>
  <c r="NA27" i="23"/>
  <c r="DO27" i="105" s="1"/>
  <c r="H27" i="43" s="1"/>
  <c r="E27" i="43"/>
  <c r="CH61" i="23"/>
  <c r="CZ61" i="23"/>
  <c r="FB61" i="23"/>
  <c r="EM61" i="23"/>
  <c r="HD61" i="23"/>
  <c r="HA61" i="23"/>
  <c r="HJ61" i="23"/>
  <c r="HG61" i="23"/>
  <c r="DI61" i="23"/>
  <c r="BA61" i="23"/>
  <c r="CW61" i="23"/>
  <c r="DV48" i="105"/>
  <c r="F48" i="43"/>
  <c r="O48" i="43" s="1"/>
  <c r="CA29" i="105"/>
  <c r="DU40" i="105"/>
  <c r="H34" i="43"/>
  <c r="N34" i="43" s="1"/>
  <c r="Q58" i="43" s="1"/>
  <c r="N9" i="43"/>
  <c r="H28" i="43"/>
  <c r="N21" i="43"/>
  <c r="T57" i="43" s="1"/>
  <c r="DT11" i="105"/>
  <c r="DT32" i="105"/>
  <c r="DU21" i="105"/>
  <c r="H33" i="43"/>
  <c r="N33" i="43" s="1"/>
  <c r="N58" i="43" s="1"/>
  <c r="DU33" i="105"/>
  <c r="N12" i="43"/>
  <c r="E29" i="23"/>
  <c r="N8" i="43"/>
  <c r="N37" i="43"/>
  <c r="DU37" i="105"/>
  <c r="N18" i="43"/>
  <c r="Q57" i="43" s="1"/>
  <c r="DU18" i="105"/>
  <c r="N57" i="43" l="1"/>
  <c r="E38" i="43"/>
  <c r="N38" i="43" s="1"/>
  <c r="T58" i="43" s="1"/>
  <c r="DU38" i="105"/>
  <c r="EC52" i="105"/>
  <c r="DV61" i="105"/>
  <c r="DV60" i="105"/>
  <c r="MY29" i="23"/>
  <c r="DL29" i="105" s="1"/>
  <c r="E29" i="43" s="1"/>
  <c r="DU47" i="105"/>
  <c r="DU46" i="105"/>
  <c r="N27" i="43"/>
  <c r="E20" i="43"/>
  <c r="DL58" i="105"/>
  <c r="H20" i="43"/>
  <c r="H72" i="43" s="1"/>
  <c r="DO58" i="105"/>
  <c r="DU27" i="105"/>
  <c r="H29" i="43"/>
  <c r="DU48" i="105"/>
  <c r="N48" i="43"/>
  <c r="DU20" i="105"/>
  <c r="DU58" i="105" s="1"/>
  <c r="N28" i="43"/>
  <c r="DU28" i="105"/>
  <c r="N20" i="43" l="1"/>
  <c r="N72" i="43" s="1"/>
  <c r="DU29" i="105"/>
  <c r="N29" i="43"/>
  <c r="Q53" i="43" s="1"/>
  <c r="G28" i="23" l="1"/>
  <c r="G29" i="23" s="1"/>
  <c r="G20" i="23"/>
  <c r="G57" i="23" s="1"/>
  <c r="C58" i="25"/>
  <c r="G61" i="23" l="1"/>
  <c r="AN40" i="23"/>
  <c r="AN41" i="23"/>
  <c r="AN47" i="23" s="1"/>
  <c r="AN46" i="23" l="1"/>
  <c r="AN48" i="23" s="1"/>
  <c r="AN38" i="23"/>
  <c r="DK38" i="105" s="1"/>
  <c r="DT38" i="105" s="1"/>
  <c r="DK41" i="105"/>
  <c r="D41" i="43" s="1"/>
  <c r="DK40" i="105"/>
  <c r="DT40" i="105" s="1"/>
  <c r="IU10" i="23"/>
  <c r="AK33" i="23"/>
  <c r="AK34" i="23"/>
  <c r="DN33" i="105" l="1"/>
  <c r="AK46" i="23"/>
  <c r="AK37" i="23"/>
  <c r="DN37" i="105" s="1"/>
  <c r="IU27" i="23"/>
  <c r="IU29" i="23" s="1"/>
  <c r="IU20" i="23"/>
  <c r="IU57" i="23" s="1"/>
  <c r="DN34" i="105"/>
  <c r="AK47" i="23"/>
  <c r="DT41" i="105"/>
  <c r="J10" i="36"/>
  <c r="AK48" i="23" l="1"/>
  <c r="DN46" i="105"/>
  <c r="G46" i="43" s="1"/>
  <c r="IU61" i="23"/>
  <c r="DN47" i="105"/>
  <c r="G47" i="43" s="1"/>
  <c r="G37" i="43"/>
  <c r="DT37" i="105"/>
  <c r="G33" i="43"/>
  <c r="DT33" i="105"/>
  <c r="G34" i="43"/>
  <c r="DT34" i="105"/>
  <c r="DN48" i="105" l="1"/>
  <c r="G48" i="43" s="1"/>
  <c r="G11" i="73"/>
  <c r="G28" i="73" l="1"/>
  <c r="MD28" i="23" l="1"/>
  <c r="MD29" i="23" s="1"/>
  <c r="MD20" i="23"/>
  <c r="MD57" i="23" s="1"/>
  <c r="MD61" i="23" l="1"/>
  <c r="DE10" i="23"/>
  <c r="DE27" i="23" l="1"/>
  <c r="C59" i="25"/>
  <c r="C56" i="25" s="1"/>
  <c r="KT13" i="23" l="1"/>
  <c r="KT27" i="23" l="1"/>
  <c r="KT29" i="23" s="1"/>
  <c r="KT12" i="23"/>
  <c r="DK13" i="105"/>
  <c r="D13" i="43" s="1"/>
  <c r="KT20" i="23" l="1"/>
  <c r="DT13" i="105"/>
  <c r="CD10" i="23"/>
  <c r="KT57" i="23" l="1"/>
  <c r="CD27" i="23"/>
  <c r="CD29" i="23" s="1"/>
  <c r="CD20" i="23"/>
  <c r="CD57" i="23" s="1"/>
  <c r="KT61" i="23"/>
  <c r="J28" i="23" l="1"/>
  <c r="J29" i="23" s="1"/>
  <c r="J20" i="23"/>
  <c r="J57" i="23" s="1"/>
  <c r="CD61" i="23"/>
  <c r="J61" i="23" l="1"/>
  <c r="C49" i="25"/>
  <c r="C77" i="101"/>
  <c r="E76" i="101"/>
  <c r="E75" i="101"/>
  <c r="E73" i="101"/>
  <c r="E72" i="101" s="1"/>
  <c r="E67" i="101"/>
  <c r="E66" i="101"/>
  <c r="E63" i="101"/>
  <c r="E62" i="101" s="1"/>
  <c r="E61" i="101"/>
  <c r="E60" i="101"/>
  <c r="E58" i="101"/>
  <c r="E56" i="101"/>
  <c r="C56" i="101" s="1"/>
  <c r="E54" i="101"/>
  <c r="E51" i="101"/>
  <c r="E49" i="101" s="1"/>
  <c r="E48" i="101"/>
  <c r="E47" i="101"/>
  <c r="E44" i="101" s="1"/>
  <c r="E46" i="101"/>
  <c r="E43" i="101"/>
  <c r="E42" i="101"/>
  <c r="E39" i="101"/>
  <c r="E38" i="101"/>
  <c r="E37" i="101"/>
  <c r="D32" i="101"/>
  <c r="E32" i="101" s="1"/>
  <c r="D31" i="101"/>
  <c r="E31" i="101" s="1"/>
  <c r="E28" i="101"/>
  <c r="E27" i="101"/>
  <c r="E23" i="101"/>
  <c r="C23" i="101" s="1"/>
  <c r="E21" i="101"/>
  <c r="E19" i="101"/>
  <c r="E17" i="101"/>
  <c r="E15" i="101"/>
  <c r="E13" i="101"/>
  <c r="C13" i="101" s="1"/>
  <c r="E10" i="101"/>
  <c r="J11" i="74"/>
  <c r="G11" i="74"/>
  <c r="D41" i="74"/>
  <c r="BF11" i="40"/>
  <c r="AW11" i="40"/>
  <c r="AT11" i="40"/>
  <c r="AQ11" i="40"/>
  <c r="AN11" i="40"/>
  <c r="AH11" i="40"/>
  <c r="AE11" i="40"/>
  <c r="AB11" i="40"/>
  <c r="Y11" i="40"/>
  <c r="V11" i="40"/>
  <c r="S11" i="40"/>
  <c r="J11" i="40"/>
  <c r="G11" i="40"/>
  <c r="G9" i="40"/>
  <c r="D41" i="40"/>
  <c r="AK11" i="40"/>
  <c r="AB28" i="40" l="1"/>
  <c r="S28" i="40"/>
  <c r="AE28" i="40"/>
  <c r="AT21" i="40"/>
  <c r="AT28" i="40"/>
  <c r="AT30" i="40" s="1"/>
  <c r="J28" i="40"/>
  <c r="V28" i="40"/>
  <c r="AH28" i="40"/>
  <c r="AW21" i="40"/>
  <c r="AW28" i="40"/>
  <c r="AW30" i="40" s="1"/>
  <c r="J21" i="74"/>
  <c r="J28" i="74"/>
  <c r="J30" i="74" s="1"/>
  <c r="AK28" i="40"/>
  <c r="AQ28" i="40"/>
  <c r="Y28" i="40"/>
  <c r="AN28" i="40"/>
  <c r="AN30" i="40" s="1"/>
  <c r="AN21" i="40"/>
  <c r="BF21" i="40"/>
  <c r="BF28" i="40"/>
  <c r="BF30" i="40" s="1"/>
  <c r="G11" i="41"/>
  <c r="G28" i="41"/>
  <c r="E9" i="101"/>
  <c r="E64" i="101"/>
  <c r="E71" i="101"/>
  <c r="E26" i="101"/>
  <c r="E25" i="101" s="1"/>
  <c r="E36" i="101"/>
  <c r="E34" i="101" s="1"/>
  <c r="E33" i="101" s="1"/>
  <c r="E12" i="101"/>
  <c r="E8" i="101" s="1"/>
  <c r="E30" i="101"/>
  <c r="E29" i="101" s="1"/>
  <c r="E55" i="101"/>
  <c r="J11" i="73"/>
  <c r="D41" i="73"/>
  <c r="E24" i="101" l="1"/>
  <c r="AB11" i="73"/>
  <c r="E53" i="101"/>
  <c r="J11" i="38"/>
  <c r="G11" i="38"/>
  <c r="D41" i="38"/>
  <c r="M11" i="35"/>
  <c r="D41" i="35"/>
  <c r="J28" i="38" l="1"/>
  <c r="E78" i="101"/>
  <c r="E82" i="101" s="1"/>
  <c r="G11" i="35"/>
  <c r="V11" i="39"/>
  <c r="G11" i="39"/>
  <c r="D41" i="39"/>
  <c r="M11" i="36"/>
  <c r="J11" i="36"/>
  <c r="G11" i="36"/>
  <c r="D41" i="36"/>
  <c r="G11" i="37"/>
  <c r="D41" i="37"/>
  <c r="D41" i="41" s="1"/>
  <c r="D40" i="43" s="1"/>
  <c r="M28" i="36" l="1"/>
  <c r="G21" i="35"/>
  <c r="G28" i="35"/>
  <c r="G30" i="35" s="1"/>
  <c r="G28" i="39"/>
  <c r="J21" i="36"/>
  <c r="J28" i="36"/>
  <c r="J30" i="36" s="1"/>
  <c r="V28" i="39"/>
  <c r="V30" i="39" s="1"/>
  <c r="V21" i="39"/>
  <c r="V11" i="34" l="1"/>
  <c r="M11" i="34"/>
  <c r="J11" i="34"/>
  <c r="G11" i="34"/>
  <c r="AK11" i="34"/>
  <c r="G9" i="34"/>
  <c r="AN9" i="34" s="1"/>
  <c r="V28" i="34" l="1"/>
  <c r="J28" i="34"/>
  <c r="AK21" i="34"/>
  <c r="AK28" i="34"/>
  <c r="AK30" i="34" s="1"/>
  <c r="M28" i="34"/>
  <c r="AN11" i="34"/>
  <c r="D11" i="41"/>
  <c r="J11" i="41"/>
  <c r="J10" i="43" s="1"/>
  <c r="J28" i="41"/>
  <c r="J27" i="43" s="1"/>
  <c r="LC28" i="23" l="1"/>
  <c r="LC29" i="23" s="1"/>
  <c r="LC20" i="23"/>
  <c r="LC57" i="23" s="1"/>
  <c r="JG20" i="23"/>
  <c r="JG57" i="23" s="1"/>
  <c r="JG28" i="23"/>
  <c r="JG29" i="23" s="1"/>
  <c r="JM28" i="23"/>
  <c r="JM29" i="23" s="1"/>
  <c r="JM20" i="23"/>
  <c r="JM57" i="23" s="1"/>
  <c r="LC61" i="23" l="1"/>
  <c r="JG61" i="23"/>
  <c r="JM61" i="23"/>
  <c r="S28" i="23" l="1"/>
  <c r="S29" i="23" s="1"/>
  <c r="S20" i="23"/>
  <c r="S57" i="23" s="1"/>
  <c r="GN28" i="23" l="1"/>
  <c r="GN29" i="23" s="1"/>
  <c r="GN20" i="23"/>
  <c r="GN57" i="23" s="1"/>
  <c r="S61" i="23"/>
  <c r="BC10" i="23"/>
  <c r="FA10" i="23"/>
  <c r="FA8" i="23"/>
  <c r="CS10" i="23"/>
  <c r="EU10" i="23"/>
  <c r="FA20" i="23" l="1"/>
  <c r="FA57" i="23" s="1"/>
  <c r="GN61" i="23"/>
  <c r="FA27" i="23"/>
  <c r="FA29" i="23" s="1"/>
  <c r="EU27" i="23"/>
  <c r="CS27" i="23"/>
  <c r="CY10" i="23"/>
  <c r="HF10" i="23"/>
  <c r="BI10" i="23"/>
  <c r="DH10" i="23"/>
  <c r="FG10" i="23"/>
  <c r="HI10" i="23"/>
  <c r="AZ10" i="23"/>
  <c r="EL10" i="23"/>
  <c r="AE10" i="23"/>
  <c r="EC10" i="23"/>
  <c r="ER10" i="23"/>
  <c r="CM10" i="23"/>
  <c r="CA10" i="23"/>
  <c r="FA61" i="23" l="1"/>
  <c r="CA27" i="23"/>
  <c r="CA29" i="23" s="1"/>
  <c r="CA20" i="23"/>
  <c r="CA57" i="23" s="1"/>
  <c r="AE27" i="23"/>
  <c r="AE29" i="23" s="1"/>
  <c r="AE20" i="23"/>
  <c r="AE57" i="23" s="1"/>
  <c r="FG27" i="23"/>
  <c r="CY27" i="23"/>
  <c r="CY29" i="23" s="1"/>
  <c r="CY20" i="23"/>
  <c r="CY57" i="23" s="1"/>
  <c r="HI27" i="23"/>
  <c r="HI29" i="23" s="1"/>
  <c r="HI20" i="23"/>
  <c r="HI57" i="23" s="1"/>
  <c r="CM27" i="23"/>
  <c r="CM29" i="23" s="1"/>
  <c r="CM20" i="23"/>
  <c r="CM57" i="23" s="1"/>
  <c r="EL27" i="23"/>
  <c r="EL29" i="23" s="1"/>
  <c r="EL20" i="23"/>
  <c r="EL57" i="23" s="1"/>
  <c r="DH27" i="23"/>
  <c r="EC27" i="23"/>
  <c r="HF27" i="23"/>
  <c r="HF29" i="23" s="1"/>
  <c r="HF20" i="23"/>
  <c r="HF57" i="23" s="1"/>
  <c r="ER27" i="23"/>
  <c r="BI27" i="23"/>
  <c r="BI29" i="23" s="1"/>
  <c r="BI20" i="23"/>
  <c r="BI57" i="23" s="1"/>
  <c r="AZ8" i="23"/>
  <c r="GW10" i="23"/>
  <c r="BI61" i="23" l="1"/>
  <c r="CM61" i="23"/>
  <c r="GW27" i="23"/>
  <c r="GW29" i="23" s="1"/>
  <c r="GW20" i="23"/>
  <c r="GW57" i="23" s="1"/>
  <c r="HF61" i="23"/>
  <c r="EL61" i="23"/>
  <c r="CY61" i="23"/>
  <c r="CA61" i="23"/>
  <c r="HI61" i="23"/>
  <c r="AE61" i="23"/>
  <c r="G10" i="34"/>
  <c r="G28" i="34" s="1"/>
  <c r="BC9" i="23"/>
  <c r="GW61" i="23" l="1"/>
  <c r="AN10" i="34"/>
  <c r="AN28" i="34" s="1"/>
  <c r="BC8" i="23"/>
  <c r="AZ9" i="23"/>
  <c r="AZ27" i="23" l="1"/>
  <c r="BC27" i="23"/>
  <c r="DK9" i="105"/>
  <c r="DK8" i="105"/>
  <c r="M10" i="35"/>
  <c r="M28" i="35" l="1"/>
  <c r="G10" i="40"/>
  <c r="G28" i="40" l="1"/>
  <c r="G10" i="36"/>
  <c r="G9" i="36"/>
  <c r="G28" i="36" l="1"/>
  <c r="D9" i="41"/>
  <c r="M9" i="41" s="1"/>
  <c r="G10" i="37"/>
  <c r="G10" i="38"/>
  <c r="J10" i="73"/>
  <c r="G10" i="74"/>
  <c r="G28" i="74" s="1"/>
  <c r="D8" i="43" l="1"/>
  <c r="J28" i="73"/>
  <c r="G28" i="38"/>
  <c r="G28" i="37"/>
  <c r="D10" i="41"/>
  <c r="D9" i="43" s="1"/>
  <c r="I49" i="100"/>
  <c r="H49" i="100"/>
  <c r="G49" i="100"/>
  <c r="E49" i="100"/>
  <c r="C49" i="100"/>
  <c r="I45" i="100"/>
  <c r="H45" i="100"/>
  <c r="G45" i="100"/>
  <c r="E45" i="100"/>
  <c r="C45" i="100"/>
  <c r="I43" i="100"/>
  <c r="H43" i="100"/>
  <c r="G43" i="100"/>
  <c r="E43" i="100"/>
  <c r="C43" i="100"/>
  <c r="I32" i="100"/>
  <c r="H32" i="100"/>
  <c r="G32" i="100"/>
  <c r="E32" i="100"/>
  <c r="C32" i="100"/>
  <c r="I29" i="100"/>
  <c r="H29" i="100"/>
  <c r="G29" i="100"/>
  <c r="E29" i="100"/>
  <c r="C29" i="100"/>
  <c r="I26" i="100"/>
  <c r="H26" i="100"/>
  <c r="G26" i="100"/>
  <c r="E26" i="100"/>
  <c r="C26" i="100"/>
  <c r="I23" i="100"/>
  <c r="H23" i="100"/>
  <c r="G23" i="100"/>
  <c r="E23" i="100"/>
  <c r="C23" i="100"/>
  <c r="I19" i="100"/>
  <c r="H19" i="100"/>
  <c r="G19" i="100"/>
  <c r="E19" i="100"/>
  <c r="C19" i="100"/>
  <c r="I14" i="100"/>
  <c r="H14" i="100"/>
  <c r="G14" i="100"/>
  <c r="E14" i="100"/>
  <c r="C14" i="100"/>
  <c r="I3" i="100"/>
  <c r="G3" i="100"/>
  <c r="E3" i="100"/>
  <c r="C3" i="100"/>
  <c r="LF28" i="23" l="1"/>
  <c r="LF20" i="23"/>
  <c r="G51" i="100"/>
  <c r="H51" i="100"/>
  <c r="I51" i="100"/>
  <c r="C51" i="100"/>
  <c r="E51" i="100"/>
  <c r="LF29" i="23" l="1"/>
  <c r="P28" i="43"/>
  <c r="LF57" i="23"/>
  <c r="P20" i="43"/>
  <c r="DW58" i="105"/>
  <c r="LF61" i="23"/>
  <c r="P29" i="43" l="1"/>
  <c r="MA28" i="23"/>
  <c r="MA29" i="23" s="1"/>
  <c r="MA20" i="23"/>
  <c r="MA57" i="23" s="1"/>
  <c r="LL28" i="23" l="1"/>
  <c r="LL29" i="23" s="1"/>
  <c r="LL20" i="23"/>
  <c r="LL57" i="23" s="1"/>
  <c r="MA61" i="23"/>
  <c r="LL61" i="23" l="1"/>
  <c r="BX10" i="23" l="1"/>
  <c r="BX27" i="23" l="1"/>
  <c r="BX29" i="23" s="1"/>
  <c r="BX20" i="23"/>
  <c r="BX57" i="23" s="1"/>
  <c r="CP10" i="23"/>
  <c r="CG10" i="23"/>
  <c r="CP27" i="23" l="1"/>
  <c r="CP29" i="23" s="1"/>
  <c r="CP20" i="23"/>
  <c r="CP57" i="23" s="1"/>
  <c r="CG27" i="23"/>
  <c r="CG29" i="23" s="1"/>
  <c r="CG20" i="23"/>
  <c r="CG57" i="23" s="1"/>
  <c r="BX61" i="23"/>
  <c r="HC9" i="23"/>
  <c r="HC8" i="23"/>
  <c r="CG61" i="23" l="1"/>
  <c r="DN9" i="105"/>
  <c r="HC20" i="23"/>
  <c r="HC57" i="23" s="1"/>
  <c r="DN8" i="105"/>
  <c r="HC27" i="23"/>
  <c r="HC29" i="23" s="1"/>
  <c r="CP61" i="23"/>
  <c r="C43" i="25"/>
  <c r="C45" i="25"/>
  <c r="C44" i="25"/>
  <c r="C37" i="25"/>
  <c r="C36" i="25"/>
  <c r="C31" i="25"/>
  <c r="HC61" i="23" l="1"/>
  <c r="G9" i="43"/>
  <c r="DT9" i="105"/>
  <c r="G8" i="43"/>
  <c r="M8" i="43" s="1"/>
  <c r="DT8" i="105"/>
  <c r="CJ10" i="23"/>
  <c r="CJ27" i="23" l="1"/>
  <c r="LX28" i="23"/>
  <c r="LX29" i="23" s="1"/>
  <c r="LX20" i="23"/>
  <c r="LX57" i="23" s="1"/>
  <c r="C27" i="25"/>
  <c r="K20" i="27"/>
  <c r="K19" i="27" s="1"/>
  <c r="LX61" i="23" l="1"/>
  <c r="GZ10" i="23" l="1"/>
  <c r="GZ27" i="23" l="1"/>
  <c r="GZ29" i="23" s="1"/>
  <c r="GZ20" i="23"/>
  <c r="GZ57" i="23" s="1"/>
  <c r="V28" i="23"/>
  <c r="V29" i="23" s="1"/>
  <c r="V20" i="23"/>
  <c r="V57" i="23" s="1"/>
  <c r="LR28" i="23" l="1"/>
  <c r="LR29" i="23" s="1"/>
  <c r="LR20" i="23"/>
  <c r="LR57" i="23" s="1"/>
  <c r="V61" i="23"/>
  <c r="GZ61" i="23"/>
  <c r="DB10" i="23"/>
  <c r="DB27" i="23" l="1"/>
  <c r="LR61" i="23"/>
  <c r="DK10" i="105"/>
  <c r="D10" i="43" s="1"/>
  <c r="G20" i="34" l="1"/>
  <c r="AH19" i="23"/>
  <c r="DN19" i="105" l="1"/>
  <c r="AH18" i="23"/>
  <c r="DN18" i="105" s="1"/>
  <c r="D20" i="41"/>
  <c r="D19" i="43" s="1"/>
  <c r="G19" i="34"/>
  <c r="AN20" i="34"/>
  <c r="AH59" i="23" l="1"/>
  <c r="AH28" i="23"/>
  <c r="AH29" i="23" s="1"/>
  <c r="AH20" i="23"/>
  <c r="AH57" i="23" s="1"/>
  <c r="G19" i="43"/>
  <c r="DT19" i="105"/>
  <c r="C10" i="25"/>
  <c r="C6" i="25" s="1"/>
  <c r="AT28" i="23" l="1"/>
  <c r="AT29" i="23" s="1"/>
  <c r="AT20" i="23"/>
  <c r="AT57" i="23" s="1"/>
  <c r="AH61" i="23"/>
  <c r="G18" i="43"/>
  <c r="DT18" i="105"/>
  <c r="AT61" i="23" l="1"/>
  <c r="P28" i="23" l="1"/>
  <c r="P29" i="23" s="1"/>
  <c r="P20" i="23"/>
  <c r="P57" i="23" s="1"/>
  <c r="DQ28" i="23"/>
  <c r="DQ29" i="23" s="1"/>
  <c r="DQ20" i="23"/>
  <c r="DQ57" i="23" s="1"/>
  <c r="DQ61" i="23" l="1"/>
  <c r="P61" i="23"/>
  <c r="KN28" i="23"/>
  <c r="KN29" i="23" s="1"/>
  <c r="KN20" i="23"/>
  <c r="KN57" i="23" s="1"/>
  <c r="CS28" i="23" l="1"/>
  <c r="CS29" i="23" s="1"/>
  <c r="CS20" i="23"/>
  <c r="CS57" i="23" s="1"/>
  <c r="KN61" i="23"/>
  <c r="CV10" i="23"/>
  <c r="CS61" i="23" l="1"/>
  <c r="DN10" i="105"/>
  <c r="CV27" i="23"/>
  <c r="CV29" i="23" s="1"/>
  <c r="CV20" i="23"/>
  <c r="CV57" i="23" s="1"/>
  <c r="DN27" i="105"/>
  <c r="CV61" i="23" l="1"/>
  <c r="G27" i="43"/>
  <c r="G10" i="43"/>
  <c r="DT10" i="105"/>
  <c r="J29" i="38" l="1"/>
  <c r="J30" i="38" s="1"/>
  <c r="J21" i="38"/>
  <c r="G29" i="74"/>
  <c r="G30" i="74" s="1"/>
  <c r="Y17" i="74"/>
  <c r="DN16" i="105"/>
  <c r="FG28" i="23"/>
  <c r="FG29" i="23" s="1"/>
  <c r="FG20" i="23"/>
  <c r="FG57" i="23" s="1"/>
  <c r="J29" i="37"/>
  <c r="J30" i="37" s="1"/>
  <c r="J21" i="37"/>
  <c r="DH28" i="23"/>
  <c r="DH29" i="23" s="1"/>
  <c r="DH20" i="23"/>
  <c r="DH57" i="23" s="1"/>
  <c r="M29" i="38"/>
  <c r="M30" i="38" s="1"/>
  <c r="M21" i="38"/>
  <c r="AK29" i="40"/>
  <c r="AK30" i="40" s="1"/>
  <c r="AK21" i="40"/>
  <c r="G21" i="74"/>
  <c r="DH61" i="23" l="1"/>
  <c r="AE29" i="40"/>
  <c r="AE30" i="40" s="1"/>
  <c r="AE21" i="40"/>
  <c r="J29" i="40"/>
  <c r="J30" i="40" s="1"/>
  <c r="J21" i="40"/>
  <c r="Y28" i="23"/>
  <c r="Y29" i="23" s="1"/>
  <c r="Y20" i="23"/>
  <c r="Y57" i="23" s="1"/>
  <c r="ER28" i="23"/>
  <c r="ER29" i="23" s="1"/>
  <c r="ER20" i="23"/>
  <c r="ER57" i="23" s="1"/>
  <c r="M29" i="40"/>
  <c r="M30" i="40" s="1"/>
  <c r="M21" i="40"/>
  <c r="M29" i="35"/>
  <c r="M30" i="35" s="1"/>
  <c r="M21" i="35"/>
  <c r="S29" i="39"/>
  <c r="S30" i="39" s="1"/>
  <c r="S21" i="39"/>
  <c r="AB29" i="40"/>
  <c r="AB30" i="40" s="1"/>
  <c r="AB21" i="40"/>
  <c r="M29" i="36"/>
  <c r="M30" i="36" s="1"/>
  <c r="M21" i="36"/>
  <c r="JY28" i="23"/>
  <c r="JY29" i="23" s="1"/>
  <c r="JY20" i="23"/>
  <c r="JY57" i="23" s="1"/>
  <c r="DB28" i="23"/>
  <c r="DB29" i="23" s="1"/>
  <c r="DB20" i="23"/>
  <c r="DB57" i="23" s="1"/>
  <c r="FG61" i="23"/>
  <c r="V29" i="40"/>
  <c r="V30" i="40" s="1"/>
  <c r="V21" i="40"/>
  <c r="G29" i="37"/>
  <c r="G30" i="37" s="1"/>
  <c r="G21" i="37"/>
  <c r="V29" i="34"/>
  <c r="V30" i="34" s="1"/>
  <c r="V21" i="34"/>
  <c r="G29" i="39"/>
  <c r="G30" i="39" s="1"/>
  <c r="G21" i="39"/>
  <c r="G29" i="40"/>
  <c r="G30" i="40" s="1"/>
  <c r="G21" i="40"/>
  <c r="AH29" i="40"/>
  <c r="AH30" i="40" s="1"/>
  <c r="AH21" i="40"/>
  <c r="EU28" i="23"/>
  <c r="EU29" i="23" s="1"/>
  <c r="EU20" i="23"/>
  <c r="EU57" i="23" s="1"/>
  <c r="BC28" i="23"/>
  <c r="BC29" i="23" s="1"/>
  <c r="BC20" i="23"/>
  <c r="BC57" i="23" s="1"/>
  <c r="V29" i="35"/>
  <c r="V30" i="35" s="1"/>
  <c r="V21" i="35"/>
  <c r="G29" i="36"/>
  <c r="G30" i="36" s="1"/>
  <c r="G21" i="36"/>
  <c r="J29" i="34"/>
  <c r="J30" i="34" s="1"/>
  <c r="J21" i="34"/>
  <c r="G29" i="73"/>
  <c r="G30" i="73" s="1"/>
  <c r="G21" i="73"/>
  <c r="J29" i="73"/>
  <c r="J30" i="73" s="1"/>
  <c r="J21" i="73"/>
  <c r="EC28" i="23"/>
  <c r="EC29" i="23" s="1"/>
  <c r="EC20" i="23"/>
  <c r="EC57" i="23" s="1"/>
  <c r="CJ28" i="23"/>
  <c r="CJ29" i="23" s="1"/>
  <c r="CJ20" i="23"/>
  <c r="CJ57" i="23" s="1"/>
  <c r="M29" i="73"/>
  <c r="M30" i="73" s="1"/>
  <c r="M21" i="73"/>
  <c r="S29" i="40"/>
  <c r="S30" i="40" s="1"/>
  <c r="S21" i="40"/>
  <c r="Y29" i="40"/>
  <c r="Y30" i="40" s="1"/>
  <c r="Y21" i="40"/>
  <c r="M29" i="34"/>
  <c r="M30" i="34" s="1"/>
  <c r="M21" i="34"/>
  <c r="G29" i="38"/>
  <c r="G30" i="38" s="1"/>
  <c r="G21" i="38"/>
  <c r="P21" i="40"/>
  <c r="P29" i="40"/>
  <c r="P30" i="40" s="1"/>
  <c r="AQ29" i="40"/>
  <c r="AQ30" i="40" s="1"/>
  <c r="AQ21" i="40"/>
  <c r="G21" i="34"/>
  <c r="G29" i="34"/>
  <c r="G30" i="34" s="1"/>
  <c r="M29" i="39"/>
  <c r="M30" i="39" s="1"/>
  <c r="M21" i="39"/>
  <c r="IO28" i="23"/>
  <c r="IO29" i="23" s="1"/>
  <c r="IO20" i="23"/>
  <c r="IO57" i="23" s="1"/>
  <c r="FY28" i="23"/>
  <c r="FY29" i="23" s="1"/>
  <c r="FY20" i="23"/>
  <c r="FY57" i="23" s="1"/>
  <c r="AZ28" i="23"/>
  <c r="AZ29" i="23" s="1"/>
  <c r="AZ20" i="23"/>
  <c r="AZ57" i="23" s="1"/>
  <c r="DE28" i="23"/>
  <c r="DE29" i="23" s="1"/>
  <c r="DE20" i="23"/>
  <c r="DE57" i="23" s="1"/>
  <c r="D17" i="41"/>
  <c r="AN17" i="34"/>
  <c r="J17" i="41"/>
  <c r="J16" i="43" s="1"/>
  <c r="G17" i="41"/>
  <c r="G16" i="43" s="1"/>
  <c r="DK16" i="105"/>
  <c r="DT16" i="105" s="1"/>
  <c r="D20" i="23"/>
  <c r="AZ61" i="23" l="1"/>
  <c r="D16" i="43"/>
  <c r="DB61" i="23"/>
  <c r="BC61" i="23"/>
  <c r="FY61" i="23"/>
  <c r="CJ61" i="23"/>
  <c r="ER61" i="23"/>
  <c r="DE61" i="23"/>
  <c r="IO61" i="23"/>
  <c r="EC61" i="23"/>
  <c r="EU61" i="23"/>
  <c r="JY61" i="23"/>
  <c r="Y61" i="23"/>
  <c r="DN29" i="105"/>
  <c r="DN28" i="105"/>
  <c r="G21" i="41"/>
  <c r="G59" i="41" s="1"/>
  <c r="J29" i="41"/>
  <c r="J28" i="43" s="1"/>
  <c r="J30" i="41"/>
  <c r="J29" i="43" s="1"/>
  <c r="J21" i="41"/>
  <c r="G29" i="41"/>
  <c r="G30" i="41"/>
  <c r="C21" i="25"/>
  <c r="C12" i="25"/>
  <c r="J20" i="43" l="1"/>
  <c r="J72" i="43" s="1"/>
  <c r="J59" i="41"/>
  <c r="G28" i="43"/>
  <c r="G29" i="43"/>
  <c r="M16" i="29"/>
  <c r="Y41" i="74" l="1"/>
  <c r="Y10" i="74"/>
  <c r="AB10" i="35"/>
  <c r="V10" i="38"/>
  <c r="AB10" i="37"/>
  <c r="BI11" i="40"/>
  <c r="Y11" i="74"/>
  <c r="AB11" i="37"/>
  <c r="K25" i="25"/>
  <c r="Y12" i="74"/>
  <c r="Y14" i="74"/>
  <c r="Y15" i="74"/>
  <c r="Y16" i="74"/>
  <c r="Y18" i="74"/>
  <c r="Y19" i="74"/>
  <c r="Y20" i="74"/>
  <c r="Y23" i="74"/>
  <c r="Y24" i="74"/>
  <c r="Y25" i="74"/>
  <c r="Y26" i="74"/>
  <c r="Y27" i="74"/>
  <c r="Y31" i="74"/>
  <c r="Y32" i="74"/>
  <c r="Y33" i="74"/>
  <c r="Y34" i="74"/>
  <c r="Y35" i="74"/>
  <c r="Y36" i="74"/>
  <c r="Y37" i="74"/>
  <c r="Y40" i="74"/>
  <c r="Y42" i="74"/>
  <c r="Y45" i="74"/>
  <c r="Y46" i="74"/>
  <c r="Y50" i="74"/>
  <c r="Y51" i="74"/>
  <c r="Y9" i="74"/>
  <c r="AB12" i="37"/>
  <c r="AB14" i="37"/>
  <c r="AB15" i="37"/>
  <c r="AB16" i="37"/>
  <c r="AB18" i="37"/>
  <c r="AB19" i="37"/>
  <c r="AB20" i="37"/>
  <c r="AB23" i="37"/>
  <c r="AB24" i="37"/>
  <c r="AB25" i="37"/>
  <c r="AB26" i="37"/>
  <c r="AB27" i="37"/>
  <c r="AB31" i="37"/>
  <c r="AB32" i="37"/>
  <c r="AB33" i="37"/>
  <c r="AB34" i="37"/>
  <c r="AB35" i="37"/>
  <c r="AB36" i="37"/>
  <c r="AB37" i="37"/>
  <c r="AB40" i="37"/>
  <c r="AB41" i="37"/>
  <c r="AB42" i="37"/>
  <c r="AB45" i="37"/>
  <c r="AB46" i="37"/>
  <c r="AB50" i="37"/>
  <c r="AB51" i="37"/>
  <c r="AB9" i="37"/>
  <c r="Y51" i="23"/>
  <c r="G51" i="23"/>
  <c r="D51" i="23"/>
  <c r="V51" i="23"/>
  <c r="D38" i="34"/>
  <c r="D22" i="34"/>
  <c r="E21" i="25"/>
  <c r="E12" i="25"/>
  <c r="E6" i="25"/>
  <c r="N130" i="27"/>
  <c r="V51" i="38"/>
  <c r="V12" i="38"/>
  <c r="V14" i="38"/>
  <c r="V15" i="38"/>
  <c r="V16" i="38"/>
  <c r="V18" i="38"/>
  <c r="V19" i="38"/>
  <c r="V20" i="38"/>
  <c r="V23" i="38"/>
  <c r="V24" i="38"/>
  <c r="V25" i="38"/>
  <c r="V26" i="38"/>
  <c r="V27" i="38"/>
  <c r="V31" i="38"/>
  <c r="V32" i="38"/>
  <c r="V33" i="38"/>
  <c r="V34" i="38"/>
  <c r="V35" i="38"/>
  <c r="V36" i="38"/>
  <c r="V37" i="38"/>
  <c r="V40" i="38"/>
  <c r="V42" i="38"/>
  <c r="V45" i="38"/>
  <c r="V46" i="38"/>
  <c r="V9" i="38"/>
  <c r="J51" i="41"/>
  <c r="J50" i="43" s="1"/>
  <c r="G53" i="23"/>
  <c r="V53" i="23"/>
  <c r="Y53" i="23"/>
  <c r="AB53" i="23"/>
  <c r="G52" i="23"/>
  <c r="V52" i="23"/>
  <c r="Y52" i="23"/>
  <c r="AB52" i="23"/>
  <c r="Y10" i="39"/>
  <c r="Y11" i="39"/>
  <c r="Y12" i="39"/>
  <c r="Y14" i="39"/>
  <c r="Y13" i="39" s="1"/>
  <c r="Y15" i="39"/>
  <c r="Y16" i="39"/>
  <c r="Y18" i="39"/>
  <c r="Y19" i="39"/>
  <c r="Y20" i="39"/>
  <c r="Y23" i="39"/>
  <c r="Y24" i="39"/>
  <c r="Y25" i="39"/>
  <c r="Y26" i="39"/>
  <c r="Y27" i="39"/>
  <c r="Y31" i="39"/>
  <c r="Y32" i="39"/>
  <c r="Y33" i="39"/>
  <c r="Y34" i="39"/>
  <c r="Y35" i="39"/>
  <c r="Y36" i="39"/>
  <c r="Y37" i="39"/>
  <c r="Y40" i="39"/>
  <c r="Y41" i="39"/>
  <c r="Y42" i="39"/>
  <c r="Y45" i="39"/>
  <c r="Y46" i="39"/>
  <c r="Y51" i="39"/>
  <c r="Y9" i="39"/>
  <c r="BI9" i="40"/>
  <c r="H130" i="27"/>
  <c r="BI12" i="40"/>
  <c r="BI14" i="40"/>
  <c r="BI15" i="40"/>
  <c r="BI16" i="40"/>
  <c r="BI18" i="40"/>
  <c r="BI19" i="40"/>
  <c r="BI20" i="40"/>
  <c r="BI23" i="40"/>
  <c r="BI24" i="40"/>
  <c r="BI25" i="40"/>
  <c r="BI26" i="40"/>
  <c r="BI27" i="40"/>
  <c r="BI31" i="40"/>
  <c r="BI32" i="40"/>
  <c r="BI33" i="40"/>
  <c r="BI34" i="40"/>
  <c r="BI35" i="40"/>
  <c r="BI36" i="40"/>
  <c r="BI37" i="40"/>
  <c r="BI40" i="40"/>
  <c r="BI41" i="40"/>
  <c r="BI42" i="40"/>
  <c r="BI45" i="40"/>
  <c r="BI46" i="40"/>
  <c r="D13" i="40"/>
  <c r="K130" i="27"/>
  <c r="AB12" i="73"/>
  <c r="AB14" i="73"/>
  <c r="AB15" i="73"/>
  <c r="AB16" i="73"/>
  <c r="AB18" i="73"/>
  <c r="AB19" i="73"/>
  <c r="AB20" i="73"/>
  <c r="AB23" i="73"/>
  <c r="AB24" i="73"/>
  <c r="AB25" i="73"/>
  <c r="AB26" i="73"/>
  <c r="AB27" i="73"/>
  <c r="AB31" i="73"/>
  <c r="AB32" i="73"/>
  <c r="AB33" i="73"/>
  <c r="AB34" i="73"/>
  <c r="AB35" i="73"/>
  <c r="AB36" i="73"/>
  <c r="AB37" i="73"/>
  <c r="AB40" i="73"/>
  <c r="AB41" i="73"/>
  <c r="AB42" i="73"/>
  <c r="AB45" i="73"/>
  <c r="AB46" i="73"/>
  <c r="AB12" i="35"/>
  <c r="AB14" i="35"/>
  <c r="AB15" i="35"/>
  <c r="AB16" i="35"/>
  <c r="AB18" i="35"/>
  <c r="AB19" i="35"/>
  <c r="AB20" i="35"/>
  <c r="AB23" i="35"/>
  <c r="AB24" i="35"/>
  <c r="AB25" i="35"/>
  <c r="AB26" i="35"/>
  <c r="AB27" i="35"/>
  <c r="AB31" i="35"/>
  <c r="AB32" i="35"/>
  <c r="AB33" i="35"/>
  <c r="AB34" i="35"/>
  <c r="AB35" i="35"/>
  <c r="AB36" i="35"/>
  <c r="AB37" i="35"/>
  <c r="AB40" i="35"/>
  <c r="AB41" i="35"/>
  <c r="AB42" i="35"/>
  <c r="AB45" i="35"/>
  <c r="AB46" i="35"/>
  <c r="AB9" i="35"/>
  <c r="S12" i="36"/>
  <c r="S14" i="36"/>
  <c r="S15" i="36"/>
  <c r="S16" i="36"/>
  <c r="S18" i="36"/>
  <c r="S19" i="36"/>
  <c r="S20" i="36"/>
  <c r="S23" i="36"/>
  <c r="S24" i="36"/>
  <c r="S25" i="36"/>
  <c r="S26" i="36"/>
  <c r="S27" i="36"/>
  <c r="S31" i="36"/>
  <c r="S32" i="36"/>
  <c r="S33" i="36"/>
  <c r="S34" i="36"/>
  <c r="S35" i="36"/>
  <c r="S36" i="36"/>
  <c r="S37" i="36"/>
  <c r="S40" i="36"/>
  <c r="S41" i="36"/>
  <c r="S42" i="36"/>
  <c r="S45" i="36"/>
  <c r="S46" i="36"/>
  <c r="AB9" i="73"/>
  <c r="D46" i="23"/>
  <c r="D27" i="23"/>
  <c r="N16" i="29"/>
  <c r="C47" i="25"/>
  <c r="NE19" i="23"/>
  <c r="U19" i="43"/>
  <c r="G21" i="29"/>
  <c r="E130" i="27"/>
  <c r="D19" i="34"/>
  <c r="C71" i="25"/>
  <c r="V50" i="38"/>
  <c r="Y50" i="39"/>
  <c r="AB50" i="35"/>
  <c r="AB50" i="73"/>
  <c r="C51" i="25"/>
  <c r="D13" i="74"/>
  <c r="D28" i="74" s="1"/>
  <c r="D22" i="74"/>
  <c r="D29" i="74"/>
  <c r="D38" i="74"/>
  <c r="D13" i="73"/>
  <c r="D22" i="73"/>
  <c r="D29" i="73"/>
  <c r="D38" i="73"/>
  <c r="D38" i="41" s="1"/>
  <c r="D37" i="43" s="1"/>
  <c r="D13" i="35"/>
  <c r="D28" i="35" s="1"/>
  <c r="D13" i="39"/>
  <c r="D28" i="39" s="1"/>
  <c r="D13" i="36"/>
  <c r="D21" i="36" s="1"/>
  <c r="D13" i="38"/>
  <c r="D21" i="38" s="1"/>
  <c r="D13" i="37"/>
  <c r="D28" i="37" s="1"/>
  <c r="D13" i="34"/>
  <c r="AB51" i="23"/>
  <c r="D29" i="35"/>
  <c r="D29" i="40"/>
  <c r="D29" i="39"/>
  <c r="D29" i="36"/>
  <c r="D29" i="38"/>
  <c r="D29" i="37"/>
  <c r="D38" i="40"/>
  <c r="D22" i="40"/>
  <c r="D38" i="39"/>
  <c r="D22" i="39"/>
  <c r="D38" i="38"/>
  <c r="D22" i="38"/>
  <c r="D22" i="37"/>
  <c r="D38" i="36"/>
  <c r="D22" i="36"/>
  <c r="D38" i="35"/>
  <c r="D22" i="35"/>
  <c r="D47" i="23"/>
  <c r="DK47" i="105" s="1"/>
  <c r="DT47" i="105" s="1"/>
  <c r="D52" i="23"/>
  <c r="E19" i="27"/>
  <c r="E17" i="27"/>
  <c r="MH53" i="23"/>
  <c r="E22" i="28"/>
  <c r="NE17" i="23"/>
  <c r="S11" i="36"/>
  <c r="S10" i="36"/>
  <c r="AB11" i="35"/>
  <c r="AB10" i="73"/>
  <c r="NE11" i="23"/>
  <c r="NE16" i="23"/>
  <c r="NE10" i="23"/>
  <c r="NE18" i="23" s="1"/>
  <c r="ND21" i="23"/>
  <c r="ND30" i="23"/>
  <c r="BI50" i="40"/>
  <c r="S50" i="36"/>
  <c r="V11" i="38"/>
  <c r="S9" i="36"/>
  <c r="BI10" i="40"/>
  <c r="V41" i="38"/>
  <c r="E74" i="25" l="1"/>
  <c r="AB22" i="35"/>
  <c r="Y29" i="74"/>
  <c r="BI38" i="40"/>
  <c r="AB13" i="37"/>
  <c r="AB28" i="37" s="1"/>
  <c r="D43" i="37" s="1"/>
  <c r="S22" i="36"/>
  <c r="AB38" i="35"/>
  <c r="AB38" i="73"/>
  <c r="BI13" i="40"/>
  <c r="BI28" i="40" s="1"/>
  <c r="V13" i="38"/>
  <c r="AB22" i="37"/>
  <c r="Y13" i="74"/>
  <c r="Y21" i="74" s="1"/>
  <c r="V38" i="38"/>
  <c r="Y38" i="74"/>
  <c r="Y28" i="39"/>
  <c r="S13" i="36"/>
  <c r="S28" i="36" s="1"/>
  <c r="BI22" i="40"/>
  <c r="Y38" i="39"/>
  <c r="V28" i="38"/>
  <c r="V22" i="38"/>
  <c r="Y22" i="74"/>
  <c r="S38" i="36"/>
  <c r="AB13" i="35"/>
  <c r="AB13" i="73"/>
  <c r="Y22" i="39"/>
  <c r="AB38" i="37"/>
  <c r="DN20" i="105"/>
  <c r="DN12" i="105"/>
  <c r="E132" i="27"/>
  <c r="D22" i="41"/>
  <c r="D29" i="34"/>
  <c r="AN19" i="34"/>
  <c r="D19" i="41"/>
  <c r="D18" i="43" s="1"/>
  <c r="D53" i="23"/>
  <c r="D54" i="23" s="1"/>
  <c r="DK46" i="105"/>
  <c r="DT46" i="105" s="1"/>
  <c r="E26" i="26"/>
  <c r="D28" i="73"/>
  <c r="D13" i="41"/>
  <c r="M16" i="41"/>
  <c r="D21" i="73"/>
  <c r="D21" i="74"/>
  <c r="D21" i="37"/>
  <c r="D30" i="39"/>
  <c r="C74" i="25"/>
  <c r="C75" i="25" s="1"/>
  <c r="D28" i="34"/>
  <c r="D21" i="34"/>
  <c r="D30" i="35"/>
  <c r="D30" i="74"/>
  <c r="M23" i="41"/>
  <c r="D21" i="39"/>
  <c r="NE20" i="23"/>
  <c r="M36" i="41"/>
  <c r="M11" i="41"/>
  <c r="M14" i="41"/>
  <c r="M40" i="41"/>
  <c r="M27" i="41"/>
  <c r="M35" i="41"/>
  <c r="M25" i="41"/>
  <c r="M46" i="41"/>
  <c r="M26" i="41"/>
  <c r="M32" i="41"/>
  <c r="G54" i="23"/>
  <c r="D21" i="35"/>
  <c r="H132" i="27"/>
  <c r="M34" i="43"/>
  <c r="D30" i="37"/>
  <c r="AB22" i="73"/>
  <c r="M18" i="41"/>
  <c r="D28" i="38"/>
  <c r="D30" i="38" s="1"/>
  <c r="D28" i="36"/>
  <c r="D30" i="36" s="1"/>
  <c r="M42" i="41"/>
  <c r="D48" i="23"/>
  <c r="DK48" i="105" s="1"/>
  <c r="DT48" i="105" s="1"/>
  <c r="D30" i="73"/>
  <c r="K132" i="27"/>
  <c r="M37" i="41"/>
  <c r="M31" i="41"/>
  <c r="M12" i="41"/>
  <c r="M50" i="41"/>
  <c r="EA11" i="41"/>
  <c r="M34" i="41"/>
  <c r="M10" i="41"/>
  <c r="AB54" i="23"/>
  <c r="V54" i="23"/>
  <c r="AB17" i="73"/>
  <c r="AB29" i="73" s="1"/>
  <c r="N132" i="27"/>
  <c r="D28" i="23"/>
  <c r="D29" i="23" s="1"/>
  <c r="Y17" i="39"/>
  <c r="Y29" i="39" s="1"/>
  <c r="D28" i="40"/>
  <c r="D30" i="40" s="1"/>
  <c r="D21" i="40"/>
  <c r="M45" i="41"/>
  <c r="AB29" i="37"/>
  <c r="M20" i="41"/>
  <c r="M41" i="41"/>
  <c r="Y54" i="23"/>
  <c r="S17" i="36"/>
  <c r="S29" i="36" s="1"/>
  <c r="M15" i="41"/>
  <c r="M33" i="41"/>
  <c r="M24" i="41"/>
  <c r="AB21" i="73" l="1"/>
  <c r="G12" i="43"/>
  <c r="DN62" i="105"/>
  <c r="Y28" i="74"/>
  <c r="Y30" i="74" s="1"/>
  <c r="S30" i="36"/>
  <c r="GH28" i="23"/>
  <c r="GH29" i="23" s="1"/>
  <c r="GH20" i="23"/>
  <c r="GH57" i="23" s="1"/>
  <c r="EO20" i="23"/>
  <c r="EO57" i="23" s="1"/>
  <c r="EO28" i="23"/>
  <c r="EO29" i="23" s="1"/>
  <c r="GQ28" i="23"/>
  <c r="GQ29" i="23" s="1"/>
  <c r="GQ20" i="23"/>
  <c r="GQ57" i="23" s="1"/>
  <c r="AB28" i="73"/>
  <c r="AB30" i="73" s="1"/>
  <c r="AB28" i="35"/>
  <c r="Y30" i="39"/>
  <c r="AB21" i="37"/>
  <c r="S21" i="36"/>
  <c r="Y21" i="39"/>
  <c r="AB30" i="37"/>
  <c r="AN29" i="34"/>
  <c r="AN30" i="34" s="1"/>
  <c r="AN21" i="34"/>
  <c r="DN58" i="105"/>
  <c r="G20" i="43"/>
  <c r="G72" i="43" s="1"/>
  <c r="K134" i="27"/>
  <c r="D21" i="41"/>
  <c r="D30" i="34"/>
  <c r="D43" i="34"/>
  <c r="D29" i="41"/>
  <c r="IG14" i="23"/>
  <c r="D28" i="41"/>
  <c r="DK17" i="105"/>
  <c r="D17" i="43" s="1"/>
  <c r="D43" i="35"/>
  <c r="D13" i="29" s="1"/>
  <c r="O13" i="29" s="1"/>
  <c r="S34" i="43"/>
  <c r="IG50" i="23"/>
  <c r="DK50" i="105" s="1"/>
  <c r="D50" i="43" s="1"/>
  <c r="M22" i="41"/>
  <c r="M26" i="43"/>
  <c r="M36" i="43"/>
  <c r="M15" i="43"/>
  <c r="M22" i="43"/>
  <c r="M49" i="43"/>
  <c r="M41" i="43"/>
  <c r="U53" i="43"/>
  <c r="M25" i="43"/>
  <c r="M45" i="43"/>
  <c r="M39" i="43"/>
  <c r="M19" i="43"/>
  <c r="M33" i="43"/>
  <c r="D43" i="40"/>
  <c r="BI43" i="40" s="1"/>
  <c r="D43" i="39"/>
  <c r="D47" i="39" s="1"/>
  <c r="D44" i="73"/>
  <c r="D48" i="73" s="1"/>
  <c r="M19" i="41"/>
  <c r="P28" i="41"/>
  <c r="M35" i="43"/>
  <c r="D44" i="74"/>
  <c r="V17" i="38"/>
  <c r="M9" i="43"/>
  <c r="M44" i="43"/>
  <c r="D44" i="39"/>
  <c r="M31" i="43"/>
  <c r="P58" i="43" s="1"/>
  <c r="M40" i="43"/>
  <c r="D47" i="37"/>
  <c r="D10" i="29"/>
  <c r="O10" i="29" s="1"/>
  <c r="AB43" i="37"/>
  <c r="M10" i="43"/>
  <c r="M13" i="41"/>
  <c r="M30" i="43"/>
  <c r="D44" i="37"/>
  <c r="M32" i="43"/>
  <c r="M38" i="41"/>
  <c r="BI17" i="40"/>
  <c r="BI29" i="40" s="1"/>
  <c r="BI30" i="40" s="1"/>
  <c r="AB17" i="35"/>
  <c r="AB29" i="35" s="1"/>
  <c r="M11" i="43"/>
  <c r="D43" i="73"/>
  <c r="D43" i="74"/>
  <c r="D43" i="38"/>
  <c r="M58" i="43" l="1"/>
  <c r="EO61" i="23"/>
  <c r="D44" i="34"/>
  <c r="D39" i="34" s="1"/>
  <c r="GH61" i="23"/>
  <c r="AB47" i="37"/>
  <c r="IG27" i="23"/>
  <c r="IG29" i="23" s="1"/>
  <c r="IG12" i="23"/>
  <c r="GQ61" i="23"/>
  <c r="AB21" i="35"/>
  <c r="V29" i="38"/>
  <c r="V21" i="38"/>
  <c r="BI47" i="40"/>
  <c r="AB30" i="35"/>
  <c r="BI21" i="40"/>
  <c r="D30" i="41"/>
  <c r="DK14" i="105"/>
  <c r="D14" i="43" s="1"/>
  <c r="M50" i="43"/>
  <c r="DT50" i="105"/>
  <c r="DT17" i="105"/>
  <c r="D39" i="37"/>
  <c r="D47" i="35"/>
  <c r="M67" i="43"/>
  <c r="AB43" i="35"/>
  <c r="D43" i="36"/>
  <c r="D43" i="41" s="1"/>
  <c r="D42" i="43" s="1"/>
  <c r="S36" i="43"/>
  <c r="S15" i="43"/>
  <c r="S22" i="43"/>
  <c r="S49" i="43"/>
  <c r="S41" i="43"/>
  <c r="S39" i="43"/>
  <c r="S31" i="43"/>
  <c r="S25" i="43"/>
  <c r="I75" i="25"/>
  <c r="S19" i="43"/>
  <c r="AB44" i="73"/>
  <c r="S33" i="43"/>
  <c r="S32" i="43"/>
  <c r="D47" i="40"/>
  <c r="D39" i="39"/>
  <c r="D15" i="29"/>
  <c r="O15" i="29" s="1"/>
  <c r="Y43" i="39"/>
  <c r="S8" i="43"/>
  <c r="S9" i="43"/>
  <c r="S35" i="43"/>
  <c r="Y44" i="74"/>
  <c r="D48" i="74"/>
  <c r="S40" i="43"/>
  <c r="G15" i="29"/>
  <c r="Y44" i="39"/>
  <c r="Y48" i="39" s="1"/>
  <c r="D48" i="39"/>
  <c r="M62" i="43"/>
  <c r="T61" i="43"/>
  <c r="T32" i="43"/>
  <c r="M18" i="43"/>
  <c r="S44" i="43"/>
  <c r="D44" i="35"/>
  <c r="D39" i="35" s="1"/>
  <c r="D47" i="38"/>
  <c r="V43" i="38"/>
  <c r="D9" i="29"/>
  <c r="Y43" i="74"/>
  <c r="D47" i="74"/>
  <c r="D39" i="74"/>
  <c r="S11" i="43"/>
  <c r="T60" i="43"/>
  <c r="S10" i="43"/>
  <c r="P21" i="41"/>
  <c r="AN43" i="34"/>
  <c r="AN47" i="34" s="1"/>
  <c r="D44" i="40"/>
  <c r="AB44" i="37"/>
  <c r="AB48" i="37" s="1"/>
  <c r="G10" i="29"/>
  <c r="D48" i="37"/>
  <c r="S30" i="43"/>
  <c r="D12" i="29"/>
  <c r="D44" i="36"/>
  <c r="M37" i="43"/>
  <c r="M28" i="41"/>
  <c r="AB43" i="73"/>
  <c r="D47" i="73"/>
  <c r="D39" i="73"/>
  <c r="U11" i="43"/>
  <c r="U10" i="43"/>
  <c r="M17" i="41"/>
  <c r="M13" i="43"/>
  <c r="Y39" i="74" l="1"/>
  <c r="AB47" i="35"/>
  <c r="D14" i="29"/>
  <c r="O14" i="29" s="1"/>
  <c r="AB39" i="73"/>
  <c r="AB47" i="73"/>
  <c r="G14" i="29"/>
  <c r="P14" i="29" s="1"/>
  <c r="AB48" i="73"/>
  <c r="IG20" i="23"/>
  <c r="Y39" i="39"/>
  <c r="Y47" i="39"/>
  <c r="Y49" i="39" s="1"/>
  <c r="V30" i="38"/>
  <c r="D44" i="38"/>
  <c r="AB49" i="37"/>
  <c r="AB39" i="37"/>
  <c r="V47" i="38"/>
  <c r="G11" i="29"/>
  <c r="P11" i="29" s="1"/>
  <c r="Y48" i="74"/>
  <c r="D11" i="29"/>
  <c r="Y47" i="74"/>
  <c r="D44" i="41"/>
  <c r="D43" i="43" s="1"/>
  <c r="D47" i="36"/>
  <c r="DT14" i="105"/>
  <c r="DK12" i="105"/>
  <c r="M17" i="43"/>
  <c r="S17" i="43" s="1"/>
  <c r="D39" i="36"/>
  <c r="S43" i="36"/>
  <c r="D8" i="29"/>
  <c r="O8" i="29" s="1"/>
  <c r="S18" i="43"/>
  <c r="S50" i="43"/>
  <c r="S13" i="43"/>
  <c r="D49" i="39"/>
  <c r="AB50" i="39" s="1"/>
  <c r="K15" i="29"/>
  <c r="P15" i="29"/>
  <c r="Q15" i="29" s="1"/>
  <c r="BI44" i="40"/>
  <c r="D48" i="40"/>
  <c r="D39" i="40"/>
  <c r="D49" i="73"/>
  <c r="D49" i="74"/>
  <c r="O9" i="29"/>
  <c r="G13" i="29"/>
  <c r="AB44" i="35"/>
  <c r="AB48" i="35" s="1"/>
  <c r="D48" i="35"/>
  <c r="M16" i="43"/>
  <c r="M29" i="41"/>
  <c r="O12" i="29"/>
  <c r="D49" i="37"/>
  <c r="S37" i="43"/>
  <c r="P10" i="29"/>
  <c r="Q10" i="29" s="1"/>
  <c r="K10" i="29"/>
  <c r="O11" i="29"/>
  <c r="M21" i="41"/>
  <c r="M59" i="41" s="1"/>
  <c r="K137" i="27"/>
  <c r="D48" i="36"/>
  <c r="S44" i="36"/>
  <c r="S48" i="36" s="1"/>
  <c r="G8" i="29"/>
  <c r="D47" i="34"/>
  <c r="D7" i="29"/>
  <c r="P57" i="43" l="1"/>
  <c r="D12" i="43"/>
  <c r="DK62" i="105"/>
  <c r="IG57" i="23"/>
  <c r="DK20" i="105"/>
  <c r="D20" i="43" s="1"/>
  <c r="K14" i="29"/>
  <c r="Y49" i="74"/>
  <c r="BI48" i="40"/>
  <c r="BI49" i="40" s="1"/>
  <c r="BI39" i="40"/>
  <c r="IG61" i="23"/>
  <c r="AB49" i="35"/>
  <c r="D48" i="38"/>
  <c r="D49" i="38" s="1"/>
  <c r="D39" i="38"/>
  <c r="D39" i="41" s="1"/>
  <c r="D38" i="43" s="1"/>
  <c r="V44" i="38"/>
  <c r="G9" i="29"/>
  <c r="AB49" i="73"/>
  <c r="AB39" i="35"/>
  <c r="S47" i="36"/>
  <c r="S49" i="36" s="1"/>
  <c r="S39" i="36"/>
  <c r="Q11" i="29"/>
  <c r="K11" i="29"/>
  <c r="D16" i="29"/>
  <c r="Q14" i="29"/>
  <c r="DT12" i="105"/>
  <c r="DT62" i="105" s="1"/>
  <c r="D47" i="41"/>
  <c r="D46" i="43" s="1"/>
  <c r="AN44" i="34"/>
  <c r="U17" i="43"/>
  <c r="M14" i="43"/>
  <c r="M30" i="41"/>
  <c r="D49" i="36"/>
  <c r="S5" i="43"/>
  <c r="U16" i="43"/>
  <c r="T9" i="43"/>
  <c r="D48" i="34"/>
  <c r="G7" i="29"/>
  <c r="D49" i="40"/>
  <c r="BN50" i="40" s="1"/>
  <c r="M43" i="41"/>
  <c r="S16" i="43"/>
  <c r="P13" i="29"/>
  <c r="Q13" i="29" s="1"/>
  <c r="K13" i="29"/>
  <c r="G12" i="29"/>
  <c r="O7" i="29"/>
  <c r="P8" i="29"/>
  <c r="Q8" i="29" s="1"/>
  <c r="K8" i="29"/>
  <c r="D49" i="35"/>
  <c r="DT20" i="105" l="1"/>
  <c r="DT58" i="105" s="1"/>
  <c r="DK58" i="105"/>
  <c r="II23" i="23"/>
  <c r="II21" i="23" s="1"/>
  <c r="AE50" i="35"/>
  <c r="V49" i="36"/>
  <c r="P9" i="29"/>
  <c r="Q9" i="29" s="1"/>
  <c r="K9" i="29"/>
  <c r="V48" i="38"/>
  <c r="V49" i="38" s="1"/>
  <c r="V39" i="38"/>
  <c r="AN39" i="34"/>
  <c r="AN48" i="34"/>
  <c r="AN49" i="34" s="1"/>
  <c r="K7" i="29"/>
  <c r="G16" i="29"/>
  <c r="G19" i="29" s="1"/>
  <c r="U18" i="43"/>
  <c r="U20" i="43" s="1"/>
  <c r="D48" i="41"/>
  <c r="D47" i="43" s="1"/>
  <c r="DK23" i="105"/>
  <c r="D23" i="43" s="1"/>
  <c r="S14" i="43"/>
  <c r="M20" i="43"/>
  <c r="M60" i="43" s="1"/>
  <c r="M12" i="43"/>
  <c r="M57" i="43" s="1"/>
  <c r="M44" i="41"/>
  <c r="D49" i="34"/>
  <c r="P12" i="29"/>
  <c r="Q12" i="29" s="1"/>
  <c r="R12" i="29" s="1"/>
  <c r="K12" i="29"/>
  <c r="P7" i="29"/>
  <c r="Q7" i="29" s="1"/>
  <c r="O16" i="29"/>
  <c r="M47" i="41"/>
  <c r="M42" i="43"/>
  <c r="II27" i="23" l="1"/>
  <c r="F50" i="41"/>
  <c r="Q50" i="41"/>
  <c r="P62" i="43"/>
  <c r="M72" i="43"/>
  <c r="G22" i="29"/>
  <c r="DT23" i="105"/>
  <c r="D49" i="41"/>
  <c r="D48" i="43" s="1"/>
  <c r="DK27" i="105"/>
  <c r="D27" i="43" s="1"/>
  <c r="DK24" i="105"/>
  <c r="D24" i="43" s="1"/>
  <c r="M39" i="41"/>
  <c r="S42" i="43"/>
  <c r="S12" i="43"/>
  <c r="K16" i="29"/>
  <c r="T21" i="43"/>
  <c r="P43" i="41"/>
  <c r="S4" i="43"/>
  <c r="T8" i="43"/>
  <c r="S20" i="43"/>
  <c r="M48" i="41"/>
  <c r="M38" i="43"/>
  <c r="S58" i="43" s="1"/>
  <c r="Q16" i="29"/>
  <c r="P16" i="29"/>
  <c r="M46" i="43"/>
  <c r="M43" i="43"/>
  <c r="M66" i="43" s="1"/>
  <c r="F49" i="43" l="1"/>
  <c r="O49" i="43" s="1"/>
  <c r="O50" i="41"/>
  <c r="R50" i="41" s="1"/>
  <c r="DK21" i="105"/>
  <c r="II28" i="23"/>
  <c r="II29" i="23" s="1"/>
  <c r="DT27" i="105"/>
  <c r="DT24" i="105"/>
  <c r="S43" i="43"/>
  <c r="S38" i="43"/>
  <c r="M49" i="41"/>
  <c r="M55" i="41" s="1"/>
  <c r="S46" i="43"/>
  <c r="M47" i="43"/>
  <c r="DT21" i="105" l="1"/>
  <c r="D21" i="43"/>
  <c r="M21" i="43" s="1"/>
  <c r="S57" i="43" s="1"/>
  <c r="DK28" i="105"/>
  <c r="DV28" i="105"/>
  <c r="S47" i="43"/>
  <c r="M48" i="43"/>
  <c r="P49" i="41"/>
  <c r="M23" i="43"/>
  <c r="M24" i="43"/>
  <c r="D28" i="43" l="1"/>
  <c r="M28" i="43" s="1"/>
  <c r="S28" i="43" s="1"/>
  <c r="DK29" i="105"/>
  <c r="DV29" i="105"/>
  <c r="EG31" i="105" s="1"/>
  <c r="DT28" i="105"/>
  <c r="S48" i="43"/>
  <c r="S23" i="43"/>
  <c r="S24" i="43"/>
  <c r="S21" i="43"/>
  <c r="M27" i="43"/>
  <c r="DT29" i="105" l="1"/>
  <c r="D29" i="43"/>
  <c r="M29" i="43" s="1"/>
  <c r="P53" i="43" s="1"/>
  <c r="S27" i="43"/>
  <c r="S29" i="43" l="1"/>
  <c r="S53" i="43"/>
  <c r="T30" i="43"/>
  <c r="M64" i="43"/>
  <c r="P55" i="43"/>
  <c r="AA75" i="119" l="1"/>
  <c r="AA143" i="119" s="1"/>
  <c r="AA184" i="119" s="1"/>
  <c r="F86" i="119"/>
  <c r="F75" i="119" l="1"/>
  <c r="F143" i="119" s="1"/>
  <c r="F184" i="119" s="1"/>
  <c r="Y13" i="43" s="1"/>
  <c r="AA13" i="43" s="1"/>
  <c r="AC75" i="119"/>
  <c r="AC143" i="119" s="1"/>
  <c r="AC184" i="119" s="1"/>
  <c r="AE188" i="119" s="1"/>
  <c r="AA189" i="119"/>
  <c r="AA190" i="119" s="1"/>
  <c r="F190" i="119" l="1"/>
  <c r="AI75" i="119"/>
  <c r="AJ75" i="119"/>
  <c r="AK75" i="119" s="1"/>
  <c r="AJ143" i="119" l="1"/>
  <c r="AK143" i="119" s="1"/>
  <c r="AI143" i="119"/>
  <c r="F186" i="119" l="1"/>
  <c r="F187" i="119" s="1"/>
  <c r="AJ184" i="119"/>
  <c r="AK184" i="119" s="1"/>
  <c r="AI184" i="119"/>
</calcChain>
</file>

<file path=xl/sharedStrings.xml><?xml version="1.0" encoding="utf-8"?>
<sst xmlns="http://schemas.openxmlformats.org/spreadsheetml/2006/main" count="7107" uniqueCount="2197">
  <si>
    <t>Működési bevételek</t>
  </si>
  <si>
    <t>Kormányzati funkció</t>
  </si>
  <si>
    <t>Megnevezés</t>
  </si>
  <si>
    <t>ebből: immateriális javak</t>
  </si>
  <si>
    <t>ebből: ingatlan</t>
  </si>
  <si>
    <t>ebből informatikai eszközök</t>
  </si>
  <si>
    <t>ebből: egyéb tárgyi eszközök</t>
  </si>
  <si>
    <t>ebből: áfa</t>
  </si>
  <si>
    <t>saját forrásai</t>
  </si>
  <si>
    <t>EU-s pályázat</t>
  </si>
  <si>
    <t>hitelfelvétel</t>
  </si>
  <si>
    <t>Ellátott feladat típusa</t>
  </si>
  <si>
    <t>K-61</t>
  </si>
  <si>
    <t>K-62</t>
  </si>
  <si>
    <t>K-63</t>
  </si>
  <si>
    <t>K-64</t>
  </si>
  <si>
    <t>K-67</t>
  </si>
  <si>
    <t>A/II. Önkormányzat: Út-, járdaépítés</t>
  </si>
  <si>
    <t>A/III. Önkormányzat: Szennyvíz, csapadékvíz, ivóvíz beruházások</t>
  </si>
  <si>
    <t>A/IV. Önkormányzat: Városgazdálkodási feladatok</t>
  </si>
  <si>
    <t>A/V. Önkormányzat: Ingatlan fejlesztések</t>
  </si>
  <si>
    <t>A/VI. Önkormányzat: Egyéb beruházások</t>
  </si>
  <si>
    <t>B. Intézményi kör kiadásai</t>
  </si>
  <si>
    <t>Dunaharaszti Városi Bölcsőde</t>
  </si>
  <si>
    <t>Dunaharaszti Hétszínvirág Óvoda</t>
  </si>
  <si>
    <t>Dunaharaszti Területi Gondozási Központ</t>
  </si>
  <si>
    <t>B. INTÉZMÉNYI KÖR BERUHÁZÁSAI ÖSSZESEN</t>
  </si>
  <si>
    <t>A. ÖNKORMÁNYZAT BERUHÁZÁSAI ÖSSZESEN</t>
  </si>
  <si>
    <t xml:space="preserve">A/I. Önkormányzat: Európai Uniós kiadások </t>
  </si>
  <si>
    <t>DUNAHARASZTI ÖNKORMÁNYZAT VÁROSI SZINTEN ÖSSZESEN</t>
  </si>
  <si>
    <t>Beruházási kiadások</t>
  </si>
  <si>
    <t>K1-K9</t>
  </si>
  <si>
    <t>TÁRGYÉVI MŰKÖDÉSI KIADÁSOK (K1+K2+K3+K4+K5+K9)</t>
  </si>
  <si>
    <t>TÁRGYÉVI FELHALMOZÁSI KIADÁSOK (K6+K7+K8+K9)</t>
  </si>
  <si>
    <t>Általános- és céltartalékok</t>
  </si>
  <si>
    <t>Rendelkezési jogosultság</t>
  </si>
  <si>
    <t>I. Útépítések, víz, csapadékvíz elvezetések céltartalék</t>
  </si>
  <si>
    <t>Sor-szám</t>
  </si>
  <si>
    <t>Polgármester</t>
  </si>
  <si>
    <t>Civil szervezetek, egyházak támogatása (Művészeti, oktatási, kulturális év közben belépő feladatok)</t>
  </si>
  <si>
    <t>Képviselő-testület</t>
  </si>
  <si>
    <t>Oktatási, Művelődési és Sport Bizottság</t>
  </si>
  <si>
    <t>Városgazdálkodás: üzemeltetés, karbantartás biztonsági tartalék</t>
  </si>
  <si>
    <t>Intézményvezetők jutalmazási kerete</t>
  </si>
  <si>
    <t>Nyári napközis tábor kiadásai</t>
  </si>
  <si>
    <t xml:space="preserve">Oktatási-nevelési intézmények kulturális programjának támogatása </t>
  </si>
  <si>
    <t>Köztisztviselők felmentése, végkielégítése</t>
  </si>
  <si>
    <t>Törvény által kötelezően kifizetendő jubileumi jutalom</t>
  </si>
  <si>
    <t xml:space="preserve">Intézményi ingatlanok különféle karbantartási kerete </t>
  </si>
  <si>
    <t>Képviselő-testület rendelkezése</t>
  </si>
  <si>
    <t>Polgármester rendelkezése</t>
  </si>
  <si>
    <t>TARTALÉKOK MINDÖSSZESEN</t>
  </si>
  <si>
    <t xml:space="preserve">Működési célú támogatások államháztartáson belülről </t>
  </si>
  <si>
    <t>Sorszám</t>
  </si>
  <si>
    <t>Részgazda</t>
  </si>
  <si>
    <t>Rovat</t>
  </si>
  <si>
    <t>Lakossági járdaépítés költsége</t>
  </si>
  <si>
    <t>Felhalmozási célú pénzeszköz átadás lakosságnak: Első lakáshoz jutók támogatása</t>
  </si>
  <si>
    <t>A, Önkormányzat</t>
  </si>
  <si>
    <t>011130 Önkormányzatok és önkormányzati hivatalok igazgatási tevékenysége</t>
  </si>
  <si>
    <t>B, Intézmények</t>
  </si>
  <si>
    <t>Működési célú támogatások</t>
  </si>
  <si>
    <t>081030</t>
  </si>
  <si>
    <t>I. Sportlétesítmények, edzőtáborok működtetése és fejlesztése</t>
  </si>
  <si>
    <t>Egyéb működési célú támogatások államháztartáson kívülre</t>
  </si>
  <si>
    <t>012</t>
  </si>
  <si>
    <t>013</t>
  </si>
  <si>
    <t>Felhalmozási célú pénzeszköz átadások, kölcsönök, lakástámogatás</t>
  </si>
  <si>
    <t>Egyéb működési célú támogatások államháztartáson belülre</t>
  </si>
  <si>
    <t>084031</t>
  </si>
  <si>
    <t>Dunaharaszti Vöröskereszt szervezetének támogatása</t>
  </si>
  <si>
    <t>022010</t>
  </si>
  <si>
    <t>Polgárőr Egyesület működési költség támogatása</t>
  </si>
  <si>
    <t>011130</t>
  </si>
  <si>
    <t>045140</t>
  </si>
  <si>
    <t>BURSA-HUNGARICA ösztöndíj pályázat</t>
  </si>
  <si>
    <t>081041</t>
  </si>
  <si>
    <t>K-506</t>
  </si>
  <si>
    <t>Dunaharaszti Nemzetiségi Önkormányzatok részére nyújtott támogatás államháztartáson belül</t>
  </si>
  <si>
    <t>DMTK támogatásai mindösszesen:</t>
  </si>
  <si>
    <t>Bolgár Nemzetiségi Önkormányzat</t>
  </si>
  <si>
    <t>Német Nemzetiségi Önkormányzat</t>
  </si>
  <si>
    <t>Rovatrend száma</t>
  </si>
  <si>
    <t>DUNAHARASZTI VÁROS ÖNKORMÁNYZATA ÁLTAL NYÚJTOTT MŰKÖDÉSI CÉLÚ TÁMOGATÁSOK MINDÖSSZESEN</t>
  </si>
  <si>
    <t xml:space="preserve">Működési </t>
  </si>
  <si>
    <t>Felhalmozási</t>
  </si>
  <si>
    <t>Dunaharaszti Polgármesteri Hivatal</t>
  </si>
  <si>
    <t>Dunaharaszti Mese Óvoda</t>
  </si>
  <si>
    <t>Dunaharaszti Gyermekjóléti- és Családsegítő Szolgálat</t>
  </si>
  <si>
    <t>Intézményfinanszírozási kiadások mindösszesen:</t>
  </si>
  <si>
    <t>002</t>
  </si>
  <si>
    <t>Mutató</t>
  </si>
  <si>
    <t>Fajlagos összeg</t>
  </si>
  <si>
    <t>A TELEPÜLÉSI ÖNKORMÁNYZATOK EGYES KÖZNEVELÉSI FELADATAINAK TÁMOGATÁSA</t>
  </si>
  <si>
    <t>Óvodaműködtetési támogatás</t>
  </si>
  <si>
    <t>Szociális étkeztetés</t>
  </si>
  <si>
    <t>Házi segítségnyújtás</t>
  </si>
  <si>
    <t>Időskorúak nappali intézményi ellátása</t>
  </si>
  <si>
    <t xml:space="preserve">A TELEPÜLÉSI ÖNKORMÁNYZATOK KULTURÁLIS FELADATAINAK TÁMOGATÁSA </t>
  </si>
  <si>
    <t>Települési önkormányzatok nyilvános könyvtári és közművelődési feladatainak támogatása</t>
  </si>
  <si>
    <t>2. számú melléklet összesen</t>
  </si>
  <si>
    <t>A/II. Önkormányzati kiadások</t>
  </si>
  <si>
    <t xml:space="preserve">A/I. Európai Uniós pályázatokhoz kapcsolódó felújítások </t>
  </si>
  <si>
    <t>K-71</t>
  </si>
  <si>
    <t>K-72</t>
  </si>
  <si>
    <t>K-73</t>
  </si>
  <si>
    <t>K-74</t>
  </si>
  <si>
    <t>ebből: informatikai eszközök</t>
  </si>
  <si>
    <t>ebből: ingatlanok</t>
  </si>
  <si>
    <t>TÁRGYÉVI MŰKÖDÉSI BEVÉTELEK (B1+B3+B4+B6+B8)</t>
  </si>
  <si>
    <t>TÁRGYÉVI FELHALMOZÁSI BEVÉTELEK (B2+B5+B7+B8)</t>
  </si>
  <si>
    <t>A beruházásokhoz kapcsolódó EU támogatások és hitelek kockázati fedezete</t>
  </si>
  <si>
    <t xml:space="preserve"> Ebből: működési tartalékok</t>
  </si>
  <si>
    <t>Kormányzati funkció száma</t>
  </si>
  <si>
    <t>Szociális ellátások, támogatások</t>
  </si>
  <si>
    <t>Összesen</t>
  </si>
  <si>
    <t>Krízishelyzet és egyéb szociális célú támogatás</t>
  </si>
  <si>
    <t>Köztemetés</t>
  </si>
  <si>
    <t>Gyógyászati segédeszköz támogatás</t>
  </si>
  <si>
    <t>Hátrányos helyzetű gyermekek üdültetése és rendezvényeik támogatása</t>
  </si>
  <si>
    <t>I. Önkormányzati segélyek</t>
  </si>
  <si>
    <t xml:space="preserve"> Ebből: felhalmozási célú pénzeszköz átadások, támogatások</t>
  </si>
  <si>
    <t xml:space="preserve"> Ebből: működési célú pénzeszköz átadások, támogatások</t>
  </si>
  <si>
    <t xml:space="preserve">   Ebből: hitelfelvétellel kapcsolatos kiadások</t>
  </si>
  <si>
    <t>001</t>
  </si>
  <si>
    <t>069</t>
  </si>
  <si>
    <t>052080</t>
  </si>
  <si>
    <t>066020</t>
  </si>
  <si>
    <t>003</t>
  </si>
  <si>
    <t>006</t>
  </si>
  <si>
    <t>007</t>
  </si>
  <si>
    <t>008</t>
  </si>
  <si>
    <t>049</t>
  </si>
  <si>
    <t>Intézmény</t>
  </si>
  <si>
    <t>016030 Állampolgársági ügyek</t>
  </si>
  <si>
    <t>Intézmény összesen</t>
  </si>
  <si>
    <t>072450 Fizikotherápiás szolgáltatás</t>
  </si>
  <si>
    <t>074031              Család-és nővédelem egészségügyi gondozás</t>
  </si>
  <si>
    <t>074032                       Ifjúság-egészségügyi gondozás</t>
  </si>
  <si>
    <t>010 Fizikotherápiás szolgáltatás</t>
  </si>
  <si>
    <t>011                  Család-és nővédelem egészségügyi gondozás</t>
  </si>
  <si>
    <t>012                Ifjúság-egészségügyi gondozás</t>
  </si>
  <si>
    <t>016        Vendéglátás étkeztetés</t>
  </si>
  <si>
    <t>107053 Jelzőrendszeres házi segítségnyújtás</t>
  </si>
  <si>
    <t>072111        Háziorvosi alapellátás</t>
  </si>
  <si>
    <t>072420 Egészségügyi laboratóriumi szolgáltatás</t>
  </si>
  <si>
    <t>DUNAHARASZTI INTÉZMÉNYEK ÖSSZESEN</t>
  </si>
  <si>
    <t>004</t>
  </si>
  <si>
    <t>005</t>
  </si>
  <si>
    <t>011</t>
  </si>
  <si>
    <t>014</t>
  </si>
  <si>
    <t>015</t>
  </si>
  <si>
    <t>75.</t>
  </si>
  <si>
    <t>Pest Megyei Katasztrófavédelmi Igazgatóság eszközfejlesztési támogatása</t>
  </si>
  <si>
    <t>DUNAHARASZTI ÖNKORMÁNYZAT ÖSSZESEN</t>
  </si>
  <si>
    <t>VÁROSI SZINTŰ DUNAHARASZTI ÖNKORMÁNYZAT MINDÖSSZESEN</t>
  </si>
  <si>
    <t>Dunaharaszti Polgármesteri Hivatal (igazgatás)</t>
  </si>
  <si>
    <t>Dunaharaszti Polgármesteri Hivatal (adó)</t>
  </si>
  <si>
    <t>011220</t>
  </si>
  <si>
    <t>091110</t>
  </si>
  <si>
    <t>Dunaharaszti Hétszínvirág Óvoda (Hétszínvirág)</t>
  </si>
  <si>
    <t>104042</t>
  </si>
  <si>
    <t>016</t>
  </si>
  <si>
    <t>107053</t>
  </si>
  <si>
    <t>072111</t>
  </si>
  <si>
    <t>074031</t>
  </si>
  <si>
    <t>074032</t>
  </si>
  <si>
    <t>Dunaharaszti Területi Gondozási Központ (Család és nővédelem)</t>
  </si>
  <si>
    <t>Dunaharaszti Területi Gondozási Központ (Házi jelzőrendszer)</t>
  </si>
  <si>
    <t>Dunaharaszti Területi Gondozási Központ (Óvodai intézményi étkezés)</t>
  </si>
  <si>
    <t>Dunaharaszti Területi Gondozási Központ (Gimnáziumi intézményi étkeztetés)</t>
  </si>
  <si>
    <t>Dunaharaszti Területi Gondozási Központ (Vendéglátás étkeztetés)</t>
  </si>
  <si>
    <t>082044</t>
  </si>
  <si>
    <t>111 Továbbszámlázás bevétele és kiadása</t>
  </si>
  <si>
    <t>Felújítási kiadások</t>
  </si>
  <si>
    <t>Intézményfinanszírozási kiadások</t>
  </si>
  <si>
    <t>096015 Gyermekétkeztetés köznevelési intézményben</t>
  </si>
  <si>
    <t>104035 Gyermekétkeztetés bölcsődében, fogyatékosok nappali intézményében</t>
  </si>
  <si>
    <t>Hóeltakarítás opció</t>
  </si>
  <si>
    <t xml:space="preserve">    Ebből: államháztartáson belüli megelőlegezések visszafizetése</t>
  </si>
  <si>
    <t>Pályázati forrás</t>
  </si>
  <si>
    <t>Vegyes</t>
  </si>
  <si>
    <t>Felhalmozási jellegű tartalékok</t>
  </si>
  <si>
    <t>Működési jellegű tartalékok</t>
  </si>
  <si>
    <t>I. Városgazdálkodás céltartalékai</t>
  </si>
  <si>
    <t>II. Finanszírozott kör céltartaléka</t>
  </si>
  <si>
    <t>III. Egyéb feladatok</t>
  </si>
  <si>
    <t>IV. Támogatások</t>
  </si>
  <si>
    <t>V. Önkormányzatok feladatok</t>
  </si>
  <si>
    <t>Sor-
szám</t>
  </si>
  <si>
    <t>Rovat megnevezése</t>
  </si>
  <si>
    <t>1.</t>
  </si>
  <si>
    <t>2.</t>
  </si>
  <si>
    <t>3.</t>
  </si>
  <si>
    <t>4.</t>
  </si>
  <si>
    <t>5.</t>
  </si>
  <si>
    <t>6.</t>
  </si>
  <si>
    <t>7.</t>
  </si>
  <si>
    <t>8.</t>
  </si>
  <si>
    <t>9.</t>
  </si>
  <si>
    <t>10.</t>
  </si>
  <si>
    <t>11.</t>
  </si>
  <si>
    <t>K1</t>
  </si>
  <si>
    <t xml:space="preserve">Munkaadókat terhelő járulékok és szociális hozzájárulási adó                                                                            </t>
  </si>
  <si>
    <t>K2</t>
  </si>
  <si>
    <t>K3</t>
  </si>
  <si>
    <t>K4</t>
  </si>
  <si>
    <t>K5</t>
  </si>
  <si>
    <t>K6</t>
  </si>
  <si>
    <t>K7</t>
  </si>
  <si>
    <t>K8</t>
  </si>
  <si>
    <t>K1-K8</t>
  </si>
  <si>
    <t>B1</t>
  </si>
  <si>
    <t>B2</t>
  </si>
  <si>
    <t>B3</t>
  </si>
  <si>
    <t>B4</t>
  </si>
  <si>
    <t>B5</t>
  </si>
  <si>
    <t>B6</t>
  </si>
  <si>
    <t>B7</t>
  </si>
  <si>
    <t>B1-B7</t>
  </si>
  <si>
    <t>K9</t>
  </si>
  <si>
    <t>B8</t>
  </si>
  <si>
    <t xml:space="preserve">Közhatalmi bevételek </t>
  </si>
  <si>
    <t xml:space="preserve">Felhalmozási célú támogatások államháztartáson belülről </t>
  </si>
  <si>
    <t>Finanszírozási kiadások</t>
  </si>
  <si>
    <t>kötelező</t>
  </si>
  <si>
    <t>önként vállalt</t>
  </si>
  <si>
    <t>államigazgatási</t>
  </si>
  <si>
    <t>12.</t>
  </si>
  <si>
    <t>13.</t>
  </si>
  <si>
    <t>14.</t>
  </si>
  <si>
    <t>15.</t>
  </si>
  <si>
    <t>16.</t>
  </si>
  <si>
    <t>17.</t>
  </si>
  <si>
    <t>18.</t>
  </si>
  <si>
    <t>19.</t>
  </si>
  <si>
    <t>20.</t>
  </si>
  <si>
    <t xml:space="preserve">Egyéb működési célú kiadások </t>
  </si>
  <si>
    <t xml:space="preserve">Egyéb felhalmozási célú kiadások </t>
  </si>
  <si>
    <t xml:space="preserve">Költségvetési kiadások </t>
  </si>
  <si>
    <t xml:space="preserve">Működési célú átvett pénzeszközök </t>
  </si>
  <si>
    <t xml:space="preserve">Felhalmozási célú átvett pénzeszközök </t>
  </si>
  <si>
    <t xml:space="preserve">Költségvetési bevételek </t>
  </si>
  <si>
    <t>Finanszírozási bevételek</t>
  </si>
  <si>
    <t xml:space="preserve">Beruházások </t>
  </si>
  <si>
    <t xml:space="preserve">Felhalmozási bevételek </t>
  </si>
  <si>
    <t>összesen</t>
  </si>
  <si>
    <t>Kormányzati funkciók száma és megnevezése</t>
  </si>
  <si>
    <t>Rovat száma</t>
  </si>
  <si>
    <t>018010 Önkormányzatok elszámolásai a központi költségvetéssel</t>
  </si>
  <si>
    <t>042220 Erdőgazdálkodás</t>
  </si>
  <si>
    <t>083040 Rádióműsor szolgáltatása és támogatása</t>
  </si>
  <si>
    <t>106010 Lakóingatlan szociális célú bérbeadása, üzemeltetése</t>
  </si>
  <si>
    <t>081030 Sportlétesítmények, edzőtáborok működtetése és fejlesztése</t>
  </si>
  <si>
    <t>081041 Versenysport- és utánpótlás-nevelési tevékenység és támogatása</t>
  </si>
  <si>
    <t>Kiadások</t>
  </si>
  <si>
    <t>066020              Város-, község-gazdálkodási egyéb szolgáltatások</t>
  </si>
  <si>
    <t xml:space="preserve">029    Erdőállomány kezelés és fenntartás </t>
  </si>
  <si>
    <t>038        Dunaharaszti sajtókapcsolatai</t>
  </si>
  <si>
    <t>046               Kitüntetői díjak</t>
  </si>
  <si>
    <t>048 Önkormányzati gondnokság</t>
  </si>
  <si>
    <t>21.</t>
  </si>
  <si>
    <t>22.</t>
  </si>
  <si>
    <t>23.</t>
  </si>
  <si>
    <t>24.</t>
  </si>
  <si>
    <t>25.</t>
  </si>
  <si>
    <t>26.</t>
  </si>
  <si>
    <t>27.</t>
  </si>
  <si>
    <t>28.</t>
  </si>
  <si>
    <t>29.</t>
  </si>
  <si>
    <t>30.</t>
  </si>
  <si>
    <t>31.</t>
  </si>
  <si>
    <t>32.</t>
  </si>
  <si>
    <t>33.</t>
  </si>
  <si>
    <t>Eredeti előirányzat</t>
  </si>
  <si>
    <t>011130 Önkormányzatok és önkormányzati hivatalok jogalkotási és általános igazgatási tevékenysége</t>
  </si>
  <si>
    <t>081041 Versenysport- és utánpótlás-nevelési tevékenység és támogatás</t>
  </si>
  <si>
    <t>34.</t>
  </si>
  <si>
    <t>35.</t>
  </si>
  <si>
    <t>36.</t>
  </si>
  <si>
    <t>37.</t>
  </si>
  <si>
    <t>38.</t>
  </si>
  <si>
    <t>39.</t>
  </si>
  <si>
    <t>40.</t>
  </si>
  <si>
    <t>41.</t>
  </si>
  <si>
    <t>42.</t>
  </si>
  <si>
    <t>43.</t>
  </si>
  <si>
    <t>44.</t>
  </si>
  <si>
    <t>45.</t>
  </si>
  <si>
    <t>46.</t>
  </si>
  <si>
    <t>47.</t>
  </si>
  <si>
    <t>48.</t>
  </si>
  <si>
    <t>49.</t>
  </si>
  <si>
    <t>50.</t>
  </si>
  <si>
    <t>51.</t>
  </si>
  <si>
    <t>52.</t>
  </si>
  <si>
    <t>54.</t>
  </si>
  <si>
    <t>56.</t>
  </si>
  <si>
    <t>57.</t>
  </si>
  <si>
    <t>58.</t>
  </si>
  <si>
    <t>59.</t>
  </si>
  <si>
    <t>60.</t>
  </si>
  <si>
    <t>61.</t>
  </si>
  <si>
    <t>62.</t>
  </si>
  <si>
    <t>63.</t>
  </si>
  <si>
    <t>64.</t>
  </si>
  <si>
    <t>65.</t>
  </si>
  <si>
    <t>66.</t>
  </si>
  <si>
    <t>67.</t>
  </si>
  <si>
    <t>68.</t>
  </si>
  <si>
    <t>69.</t>
  </si>
  <si>
    <t>71.</t>
  </si>
  <si>
    <t>72.</t>
  </si>
  <si>
    <t>76.</t>
  </si>
  <si>
    <t>79.</t>
  </si>
  <si>
    <t>80.</t>
  </si>
  <si>
    <t>81.</t>
  </si>
  <si>
    <t>82.</t>
  </si>
  <si>
    <t>83.</t>
  </si>
  <si>
    <t>84.</t>
  </si>
  <si>
    <t>85.</t>
  </si>
  <si>
    <t>86.</t>
  </si>
  <si>
    <t>96.</t>
  </si>
  <si>
    <t>97.</t>
  </si>
  <si>
    <t>98.</t>
  </si>
  <si>
    <t>99.</t>
  </si>
  <si>
    <t>100.</t>
  </si>
  <si>
    <t xml:space="preserve">önként vállalt </t>
  </si>
  <si>
    <t>TÁRGYÉVI KIADÁSOK ÖSSZESEN</t>
  </si>
  <si>
    <t>TÁRGYÉVI BEVÉTELEK ÖSSZESEN</t>
  </si>
  <si>
    <t>Személyi juttatások</t>
  </si>
  <si>
    <t xml:space="preserve">Dologi kiadások </t>
  </si>
  <si>
    <t>Ellátottak pénzbeli juttatásai</t>
  </si>
  <si>
    <t>Felújítások</t>
  </si>
  <si>
    <t>011130                                                   Önkormányzatok és önkormányzati hivatalok jogalkoltó és általános igazgatási tevékenysége</t>
  </si>
  <si>
    <t>011220                                            Adó, vám és jövedéki igazgatás</t>
  </si>
  <si>
    <t>091110                                       Óvodai nevelés, ellátás szakmai feladatai</t>
  </si>
  <si>
    <t xml:space="preserve">091120                                              Sajátos nevelési igényű gyermekek óvodai nevelésének, ellátásának szakmai feladatai                     </t>
  </si>
  <si>
    <t xml:space="preserve">091120                                                Sajátos nevelési igényű gyermekek óvodai nevelésének, ellátásának szakmai feladatai                     </t>
  </si>
  <si>
    <t>104060                                  A gyermekek, fiatalok és családok életminőségét javító programok</t>
  </si>
  <si>
    <t>107052                                Házi segítségnyújtás</t>
  </si>
  <si>
    <t>009                                  Eü labor</t>
  </si>
  <si>
    <t>008                                              Egyéb járóbeteg</t>
  </si>
  <si>
    <t>005                                   Házi jelzőrendszer</t>
  </si>
  <si>
    <t>004                                              Házi segítségnyújtás</t>
  </si>
  <si>
    <t>072111                                                Háziorvosi alapellátás</t>
  </si>
  <si>
    <t>002                       Étkeztetés</t>
  </si>
  <si>
    <t>003                               Könyvtári állomány feltárása, megőrzése</t>
  </si>
  <si>
    <t>082044                                  Könyvtári szolgáltatások</t>
  </si>
  <si>
    <t>II. Elkülönített számlák</t>
  </si>
  <si>
    <t>Társ. Összefogás.megv.közműfejl.lebony</t>
  </si>
  <si>
    <t xml:space="preserve">Bérlakás értékesítés </t>
  </si>
  <si>
    <t>Víziközmű számla</t>
  </si>
  <si>
    <t>Környezetvédelmi szla</t>
  </si>
  <si>
    <t>Parkolóhely megváltás számla</t>
  </si>
  <si>
    <t>107060                                 Egyes szociális pénzbeli és természetbeni ellátások, támogatások</t>
  </si>
  <si>
    <t xml:space="preserve">Szemétdíj átvállalása rászorultsági alapon </t>
  </si>
  <si>
    <t xml:space="preserve">Sorszám </t>
  </si>
  <si>
    <t>045140                                   Városi és elővárosi közúti személy-szállítás</t>
  </si>
  <si>
    <t>022010                                     Polgári honvédelem ágazati feladatai, a lakosság felkészítése</t>
  </si>
  <si>
    <t>084040                                Egyházak közösségi és hitéleti tevékenységének támogatása</t>
  </si>
  <si>
    <t>066020                                 Város-és községgazdálkodási egyéb szolgáltatás</t>
  </si>
  <si>
    <t>045120                                    Út, autópálya építése</t>
  </si>
  <si>
    <t>066020                          Város-, községgazdálkodási egyéb szolgáltatások</t>
  </si>
  <si>
    <t>016080                              Kiemelt állami és önkormányzati rendezvények</t>
  </si>
  <si>
    <t>066020                                   Város-, községgazdálkodási egyéb szolgáltatások</t>
  </si>
  <si>
    <t>045160                          Közutak, hidak, alagutak üzemeltetése, fenntartása</t>
  </si>
  <si>
    <t>074032                            Ifjúság-egészségügyi gondozás</t>
  </si>
  <si>
    <t>016080                               Kiemelt állami és önkormányzati rendezvények</t>
  </si>
  <si>
    <t>083030                                         Egyéb kiadói tevékenység</t>
  </si>
  <si>
    <t>064010                                      Közvilágítás</t>
  </si>
  <si>
    <t>013350                                            Az önkormányzati vagyonnal való gazdálkodással kapcsolatos feladatok</t>
  </si>
  <si>
    <t>066020                      Város-, községgaz-dálkodási egyéb szolgáltatások</t>
  </si>
  <si>
    <t>047120                          Piac üzemeltetése</t>
  </si>
  <si>
    <t>066020                                                          Város-, községgazdálkodási egyéb szolgáltatások</t>
  </si>
  <si>
    <t>051030                                     Nem veszélyes (települési) hulladék vegyes (ömlesztett) begyűjtése, szállítása, átrakása</t>
  </si>
  <si>
    <t>051050                            Veszélyes hulladék begyűjtése, szállítása, átrakása</t>
  </si>
  <si>
    <t>107060                                      Egyes szociális pénzbeli és természetbeni ellátások, támogatások</t>
  </si>
  <si>
    <t>084031                                   Civil szervezetek működési támogatása</t>
  </si>
  <si>
    <t>Gyermekétkeztetés támogatása méltányossági alapon, ételallergiában szenvedő étkeztetési támogatása</t>
  </si>
  <si>
    <t>107060                     Egyes szociális pénzbeli és természetbeni ellátások, támogatások</t>
  </si>
  <si>
    <t>212                       Ételallergiában szenvedő gyerekek támogatása</t>
  </si>
  <si>
    <t>211                                 Gyógyászati segédeszköz támogatás</t>
  </si>
  <si>
    <t>Rendszeres települési támogatás ápolás céljára</t>
  </si>
  <si>
    <t>Útfenntartás rendkívüli kiadásai (útfenntartási opció)</t>
  </si>
  <si>
    <t>K-512</t>
  </si>
  <si>
    <t>013                        Óvodai intézményi étkeztetés</t>
  </si>
  <si>
    <t>015                               Gimnáziumi  intézményi étkeztetés</t>
  </si>
  <si>
    <t>107052</t>
  </si>
  <si>
    <t>Dunaharaszti Területi Gondozási Központ (Idősek nappali ellátása)</t>
  </si>
  <si>
    <t>Dunaharaszti Területi Gondozási Központ (Házi segítségnyújtás)</t>
  </si>
  <si>
    <t xml:space="preserve">002                                Mese Óvoda      </t>
  </si>
  <si>
    <t>003                              Adóügyi feladatok</t>
  </si>
  <si>
    <t>A települési önkormányzatok által biztosított egyes szociális szakosított ellátások, valamint a gyermekek átmeneti gondozásával kapcsolatos feladatok támogatása</t>
  </si>
  <si>
    <t>004                                                  Mese Óvoda sajátos ….</t>
  </si>
  <si>
    <t>Nemzetiségi Önkormányzatok részére nyújtott támogatás összesen:</t>
  </si>
  <si>
    <t xml:space="preserve">Ügyeleti Szolgálat (Haraszti Fraxinus Kft.) támogatása </t>
  </si>
  <si>
    <t>031070                           Baleset-megelőzés</t>
  </si>
  <si>
    <t>059                             Nemzetközi kapcsolatok</t>
  </si>
  <si>
    <t>072112                         Háziorvosi ügyeleti ellátás</t>
  </si>
  <si>
    <t>045160                        Közutak, hidak, alagutak üzemeltetése, fenntartása</t>
  </si>
  <si>
    <t>083050                           Televízió-műsor szolgáltatása és támogatása</t>
  </si>
  <si>
    <t>041160                      Földmérés, térképészet</t>
  </si>
  <si>
    <t>074051                                Nem fertőző megbetegedések megelőzése</t>
  </si>
  <si>
    <t>074040                                    Fertőző megbetegedések megelőzése, járványügyi ellátás</t>
  </si>
  <si>
    <t>072160                                      Betegszállítás, valamint orvosi rendelvényű halottszállítás</t>
  </si>
  <si>
    <t>084040                                        Egyházak közösségi és hitéleti tevényekségének támogatása</t>
  </si>
  <si>
    <t>013350                                   Az önkormányzati vagyonnal való gazdálkodással kapcsolatos feladatok</t>
  </si>
  <si>
    <t>104012                       Gyermekek átmeneti ellátása</t>
  </si>
  <si>
    <t>096025                             Munkahelyi étkeztetés köznevelési intézményben</t>
  </si>
  <si>
    <t>081061                                      Szabadidős park, fürdő és strandszolgáltatás</t>
  </si>
  <si>
    <t>084032                             Civil szervezetek program-támogatása</t>
  </si>
  <si>
    <t>II. Versenysport és utánpótlás-nevelési tevékenységek támogatása</t>
  </si>
  <si>
    <t>III. Támogatások</t>
  </si>
  <si>
    <t>084                                          Tartalékok</t>
  </si>
  <si>
    <t>adatok Ft-ban</t>
  </si>
  <si>
    <t>104042                                                                 Család és gyermekjóléti szolgáltatások</t>
  </si>
  <si>
    <t>102031                                 Idősek nappali ellátása</t>
  </si>
  <si>
    <t>019                  Választott tisztségviselők (polgármester és képviselők)</t>
  </si>
  <si>
    <t>Intézmény neve</t>
  </si>
  <si>
    <t>Dunaharaszti Város Önkormányzata</t>
  </si>
  <si>
    <t xml:space="preserve"> ebből: Választott tisztségviselő</t>
  </si>
  <si>
    <t>019</t>
  </si>
  <si>
    <t xml:space="preserve"> ebből: Piac üzemeltetés</t>
  </si>
  <si>
    <t>041</t>
  </si>
  <si>
    <t xml:space="preserve"> ebből: Önkormányzati gondnokság</t>
  </si>
  <si>
    <t>048</t>
  </si>
  <si>
    <t xml:space="preserve"> ebből: Közterület felügyelet , rendőrség, közterületi kamerák</t>
  </si>
  <si>
    <t xml:space="preserve"> ebből: Temető fenntartás</t>
  </si>
  <si>
    <t>054</t>
  </si>
  <si>
    <t xml:space="preserve"> ebből: Temetkezés</t>
  </si>
  <si>
    <t>055</t>
  </si>
  <si>
    <t xml:space="preserve"> ebből: Polgármesteri Hivatal</t>
  </si>
  <si>
    <t xml:space="preserve"> ebből: Adóügyi feladatok</t>
  </si>
  <si>
    <t xml:space="preserve"> ebből: Anyakönyvi feladatok</t>
  </si>
  <si>
    <t xml:space="preserve"> ebből: Étkeztetés</t>
  </si>
  <si>
    <t xml:space="preserve"> ebből: Gyermekek egyéb ellátása</t>
  </si>
  <si>
    <t xml:space="preserve"> ebből: Hétszínvirág Óvoda</t>
  </si>
  <si>
    <t xml:space="preserve"> ebből: Százszorszép Óvoda</t>
  </si>
  <si>
    <t xml:space="preserve"> ebből: Szivárvány Óvoda</t>
  </si>
  <si>
    <t xml:space="preserve"> ebből: Mese Óvoda</t>
  </si>
  <si>
    <t xml:space="preserve"> ebből: Napsugár Óvoda</t>
  </si>
  <si>
    <t xml:space="preserve"> ebből: Idősek nappali ellátása</t>
  </si>
  <si>
    <t xml:space="preserve"> ebből: Szociális étkeztetés</t>
  </si>
  <si>
    <t xml:space="preserve"> ebből: Házi segítségnyújtás</t>
  </si>
  <si>
    <t xml:space="preserve"> ebből: Jelzőrendszeres házi segítségnyújtás</t>
  </si>
  <si>
    <t xml:space="preserve"> ebből:  Egyéb m.n.s. járóbetegellátás</t>
  </si>
  <si>
    <t xml:space="preserve"> ebből: Egészségügyi laboratóriumi szolgáltatás</t>
  </si>
  <si>
    <t>009</t>
  </si>
  <si>
    <t xml:space="preserve"> ebből: Fizikotherápiás szolgáltatás</t>
  </si>
  <si>
    <t>010</t>
  </si>
  <si>
    <t xml:space="preserve"> ebből: Család- és nővédelem egészségügyi gondozás</t>
  </si>
  <si>
    <t xml:space="preserve"> ebből: Ifjúság-egészségügyi gondozás</t>
  </si>
  <si>
    <t xml:space="preserve"> ebből: Könyvtári szolgáltatások</t>
  </si>
  <si>
    <t xml:space="preserve"> ebből: Közművelődési tevékenység</t>
  </si>
  <si>
    <t>Dunaharaszti Gyermekjóléti és Családsegítő Szolgálat</t>
  </si>
  <si>
    <t>VÁROSI SZINTŰ ÖNKORMÁNYZAT MINDÖSSZESEN</t>
  </si>
  <si>
    <t>055                                  Temetkezés</t>
  </si>
  <si>
    <t>013320                                                            Köztemető-fenntartás és működtetés</t>
  </si>
  <si>
    <t>091110                                                                             Óvodai nevelés, ellátás szakmai feladatai</t>
  </si>
  <si>
    <t>018030                      Támogatási célú finanszírozási műveletek</t>
  </si>
  <si>
    <t>091110                          Óvodai nevelés, ellátás szakmai feladatai</t>
  </si>
  <si>
    <t>072210                                      Járóbetegek gyógyító szakellátása</t>
  </si>
  <si>
    <t>052080                   Szennyvíz-csatorna építése, fenntartása, üzemeltetése</t>
  </si>
  <si>
    <t>061030                          Lakáshoz jutást segítő támogatások</t>
  </si>
  <si>
    <t>082064                            Múzeumi közművelődési, közönségkap-csolati tevékenység</t>
  </si>
  <si>
    <t>031030                            Közterület rendjének fenntartása</t>
  </si>
  <si>
    <t>082042                              Könyvtári állomány gyarapítása, nyilvántartása</t>
  </si>
  <si>
    <t>Polgármesteri Hivatal</t>
  </si>
  <si>
    <t>Létszámkeret  (fő)</t>
  </si>
  <si>
    <t>Tervezett átlagos statisztikai állományi létszám (fő)</t>
  </si>
  <si>
    <t>Nyitólétszám (az időszak első napján munkavégzésre irányuló jogviszonyban állók statisztikai állományi létszáma) (fő)</t>
  </si>
  <si>
    <t>Munkajogi nyitólétszám (az időszak első napján munkaviszonyban állók létszáma) (fő)</t>
  </si>
  <si>
    <t>Dunaharaszti Város Önkormányzata létszám</t>
  </si>
  <si>
    <t>Vegyes (előző évi maradvány: 018030)</t>
  </si>
  <si>
    <t>111                                                       Továbbszámlázás bevétele és kiadása</t>
  </si>
  <si>
    <t>104042                                                     Család és gyermekjóléti szolgáltatások</t>
  </si>
  <si>
    <t>082044                                           Könyvtári szolgáltatások</t>
  </si>
  <si>
    <t>016030</t>
  </si>
  <si>
    <t>Dunaharaszti Polgármesteri Hivatal (anyakönyv)</t>
  </si>
  <si>
    <t>107051</t>
  </si>
  <si>
    <t>Dunaharaszti Területi Gondozási Központ (Szociális étkeztetés)</t>
  </si>
  <si>
    <t>Dunaharaszti Területi Gondozási Központ (Damjanich u. 32.)</t>
  </si>
  <si>
    <t>Dunaharaszti Területi Gondozási Központ (Fő út 35. Gyermekorvosi rendelő)</t>
  </si>
  <si>
    <t>072420</t>
  </si>
  <si>
    <t>Dunaharaszti Területi Gondozási Központ (Eü-i labor)</t>
  </si>
  <si>
    <t>072450</t>
  </si>
  <si>
    <t>Dunaharaszti Területi Gondozási Központ (Fizikotherápia)</t>
  </si>
  <si>
    <t>Ágazati pótlék, bérkompenzáció, személyi juttatás és járulék tartalék</t>
  </si>
  <si>
    <t>104037                                                               Intézményen kívüli gyermekétkeztetés</t>
  </si>
  <si>
    <t>072440                                      Mentés</t>
  </si>
  <si>
    <t>068                                             Közműfejlesztési hozzájárulás</t>
  </si>
  <si>
    <t>052080                        Szennyvízcsatorna építése, fenntartása, üzemeltet.                                                    063080                                       Vízellátással lapcsolatos közmű építése, fenntart.</t>
  </si>
  <si>
    <t>Települési támogatás</t>
  </si>
  <si>
    <t>Rendszeres települési támogatás gyógyszerköltségre</t>
  </si>
  <si>
    <t>060</t>
  </si>
  <si>
    <t xml:space="preserve">052020                                         Szennyvíz gyűjtése, tisztítása, elhelyezése </t>
  </si>
  <si>
    <t xml:space="preserve">DMTK részére nyújtott támogatások </t>
  </si>
  <si>
    <t xml:space="preserve">215                                                   Rendszeres települési támogatás ápolás céljára </t>
  </si>
  <si>
    <t>Egyéb önkormányzati feladatok támogatása</t>
  </si>
  <si>
    <t>Lakott külterülettel kapcsolatos feladatok támogatása</t>
  </si>
  <si>
    <t>Szolidaritási hozzájárulás</t>
  </si>
  <si>
    <t>Szociális segítés</t>
  </si>
  <si>
    <t>085</t>
  </si>
  <si>
    <t xml:space="preserve"> ebből: Önkormányzati igazgatás</t>
  </si>
  <si>
    <t>020</t>
  </si>
  <si>
    <t xml:space="preserve">    Ebből: működési célú intézményfinanszírozás bevétele</t>
  </si>
  <si>
    <t xml:space="preserve">    Ebből: felhalmozási célú intézményfinanszírozás bevétele</t>
  </si>
  <si>
    <t>013320</t>
  </si>
  <si>
    <t xml:space="preserve"> ebből: Iskolai intézményi étkeztetés</t>
  </si>
  <si>
    <t>061030                                        Lakáshoz jutást segítő támogatások</t>
  </si>
  <si>
    <t>018020                                                     Központi költségvetési befizetések</t>
  </si>
  <si>
    <t>104031</t>
  </si>
  <si>
    <t xml:space="preserve"> 063080                                       Vízellátással kapcsolatos közmű építése, fenntart.</t>
  </si>
  <si>
    <t>063080</t>
  </si>
  <si>
    <t>052080                        Szennyvízcsatorna építése, fenntartása, üzemeltet.</t>
  </si>
  <si>
    <t>Ebből: elvonások és befizetések</t>
  </si>
  <si>
    <t xml:space="preserve"> Ebből: elvonások és befizetések</t>
  </si>
  <si>
    <t>VÁROSI SZINTŰ ÖNKORMÁNYZATI SEGÉLYEK MINDÖSSZESEN</t>
  </si>
  <si>
    <t xml:space="preserve">Normatíva felülvizsgálat tartalék </t>
  </si>
  <si>
    <t xml:space="preserve">    Ebből: működési célú intézményfinanszírozás kiadása</t>
  </si>
  <si>
    <t xml:space="preserve">    Ebből: felhalmozási célú intézményfinanszírozás kiadása</t>
  </si>
  <si>
    <t>104035</t>
  </si>
  <si>
    <t>102031</t>
  </si>
  <si>
    <t>096015</t>
  </si>
  <si>
    <t>096025</t>
  </si>
  <si>
    <t>082091</t>
  </si>
  <si>
    <t>Dunaharaszti Család- és Gyermekjóléti Szolgálat (Gyermekjóléti)</t>
  </si>
  <si>
    <t>Dunaharaszti Család- és Gyermekjóléti Szolgálat (Családsegítő)</t>
  </si>
  <si>
    <t xml:space="preserve">  Ebből: működési célú pénzeszköz átadások, támogatások</t>
  </si>
  <si>
    <t xml:space="preserve">  Ebből: működési tartalékok</t>
  </si>
  <si>
    <t xml:space="preserve">  Ebből: elvonások és befizetések</t>
  </si>
  <si>
    <t xml:space="preserve">  Ebből: felhalmozási célú pénzeszköz átadások, támogatások</t>
  </si>
  <si>
    <t xml:space="preserve">    Ebből: államháztartáson belüli megelőlegezések</t>
  </si>
  <si>
    <t>900060                               Forgatási és befektetési célú finanszírozási műveletek                                   018010                                Önkormányzatok elszámolásai a központi költségvetéssel</t>
  </si>
  <si>
    <t>051                                                Nem lakáscélú önk.ing.</t>
  </si>
  <si>
    <t>066020                                   Város-, községgazdálkodási egyéb szolgáltatások  043610                       Egyéb energiaipar igazgatása és támogatása</t>
  </si>
  <si>
    <t>091140                                      Óvodai nevelés, ellátás működtetési feladatai</t>
  </si>
  <si>
    <t xml:space="preserve">   Ebből: működési célú pénzeszköz átadások, támogatások</t>
  </si>
  <si>
    <t xml:space="preserve">   Ebből: elvonások és befizetések</t>
  </si>
  <si>
    <t xml:space="preserve">   Ebből: működési tartalékok</t>
  </si>
  <si>
    <t xml:space="preserve">   Ebből: felhalmozási célú pénzeszköz átadások, támogatások</t>
  </si>
  <si>
    <t xml:space="preserve">   Ebből: hitelfelvétel</t>
  </si>
  <si>
    <t xml:space="preserve">    Ebből: államháztartáson belüli megelőlegezések </t>
  </si>
  <si>
    <t>003                                  Közművelődési tevékenység</t>
  </si>
  <si>
    <t>082091                             Közművelődés- közösségi és társadalmi részvétel fejlesztése</t>
  </si>
  <si>
    <t>082063                                   Múzeumi kiállító tevékenység</t>
  </si>
  <si>
    <t>002                               Szivárvány Óvoda</t>
  </si>
  <si>
    <t>045120</t>
  </si>
  <si>
    <t>064010</t>
  </si>
  <si>
    <t xml:space="preserve">Közvilágítás bővítése lakossági igény szerint </t>
  </si>
  <si>
    <t>Választott tisztségviselők (polgármester és képviselők) eszközfejlesztés</t>
  </si>
  <si>
    <t>033</t>
  </si>
  <si>
    <t>Köztéri szemétgyűjtők beszerzése</t>
  </si>
  <si>
    <t>051030</t>
  </si>
  <si>
    <t>Piac eszközbeszerzés</t>
  </si>
  <si>
    <t>047120</t>
  </si>
  <si>
    <t>Temetkezés eszközbeszerzés</t>
  </si>
  <si>
    <t>Városi szintű gyesen, gyeden lévő munkavállalók visszatérési tartaléka</t>
  </si>
  <si>
    <t>Dunaharaszti Szivárvány Óvoda (Szivárvány)</t>
  </si>
  <si>
    <t>Dunaharaszti Szivárvány Óvoda (Százszorszép)</t>
  </si>
  <si>
    <t>005                               Előző évekről hozott hátralék</t>
  </si>
  <si>
    <t>Dunaharaszti Városi Könyvtár (Könyvtári szolgáltatás)</t>
  </si>
  <si>
    <t>Dunaharaszti József Attila Művelődési Ház (Laffert-kúria)</t>
  </si>
  <si>
    <t>082030</t>
  </si>
  <si>
    <t>Dunaharaszti Szivárvány Óvoda</t>
  </si>
  <si>
    <t>Dunaharaszti József Attila Művelődési Ház</t>
  </si>
  <si>
    <t>084032</t>
  </si>
  <si>
    <t xml:space="preserve">Óvodaműködtetési támogatás 8 hó </t>
  </si>
  <si>
    <t>Bölcsőde, mini bölcsőde támogatása</t>
  </si>
  <si>
    <t>Felsőfokú végzettségű kisgyermeknevelők, szaktanácsadók bértámogatása</t>
  </si>
  <si>
    <t>Bölcsődei dajkák, középfokú végzettségű kisgyermeknevelők, szaktanácsadók bértámogatása</t>
  </si>
  <si>
    <t>Gyermekétkeztetés támogatása méltányossági alapon, tartósan beteg gyermekek étkeztetési támogatása</t>
  </si>
  <si>
    <t xml:space="preserve">Roma Nemzetiségi Önkormányzat </t>
  </si>
  <si>
    <t>002                                           Idősek nappali ellátása</t>
  </si>
  <si>
    <t>081030                                             Sportlétesítmények, edzőtáborok működtet.és fejl.</t>
  </si>
  <si>
    <t>Dunaharaszti Mese Óvoda (Mese)</t>
  </si>
  <si>
    <t>Dunaharaszti Mese Óvoda (Napsugár)</t>
  </si>
  <si>
    <t>ebből: Sportcsarnok</t>
  </si>
  <si>
    <t>Dunaharaszti Városi Könyvtár</t>
  </si>
  <si>
    <t xml:space="preserve"> ebből: Gyermekjóléti szolgáltatás és Családsegítés</t>
  </si>
  <si>
    <t xml:space="preserve"> ebből: Laffert-kúria</t>
  </si>
  <si>
    <t xml:space="preserve"> ebből: Helytörténeti emléktár</t>
  </si>
  <si>
    <t>VAGABOND Korzó támogatása</t>
  </si>
  <si>
    <t>Mályvavirág Központ (Alapítvány) támogatása</t>
  </si>
  <si>
    <t>004                                        Városgazdálkodási feladatok</t>
  </si>
  <si>
    <t>066020                                 Város- és községgazdálkodási egyéb szolgáltatás</t>
  </si>
  <si>
    <t>013350</t>
  </si>
  <si>
    <t>016010                                                                  Országgy.önkorm. és európai parl.képv.vál.kap.tev.</t>
  </si>
  <si>
    <t>045160                                     Közutak, hidak, alagutak üzemeltetése, fenntartása</t>
  </si>
  <si>
    <t xml:space="preserve">    Ebbő: felhalmozási célú intézményfinanszírozás bevétele</t>
  </si>
  <si>
    <t>003                        Gyermekek egyéb ellátása                             (régi)</t>
  </si>
  <si>
    <t>004                        Gyermekek egyéb ellátása                                     (új tagbölcsőde)</t>
  </si>
  <si>
    <t>031030</t>
  </si>
  <si>
    <t>halasztott</t>
  </si>
  <si>
    <t>Bárka Alapítvány</t>
  </si>
  <si>
    <t>Péter Cerny Alapítvány</t>
  </si>
  <si>
    <t>Be nem fogadott EU-s pályázati pénzek</t>
  </si>
  <si>
    <t>004                        Szivárvány Óvoda SNI</t>
  </si>
  <si>
    <t xml:space="preserve">Óvodaműködtetési támogatás 4 hó </t>
  </si>
  <si>
    <t>Nemzetiségi pótlék</t>
  </si>
  <si>
    <t>102023                                     Időskorúak tartós bentlakásos ellátása</t>
  </si>
  <si>
    <t>082063</t>
  </si>
  <si>
    <t>Dunaharaszti József Attila Művelődési Ház (Helytörténeti emléktár)</t>
  </si>
  <si>
    <t>088</t>
  </si>
  <si>
    <t>Vis maior tartalék</t>
  </si>
  <si>
    <t xml:space="preserve"> ebből: Hétszínvirág Óvoda sajátos nevelési igényű gyerekekkel foglalkozók</t>
  </si>
  <si>
    <t>Városi civil sport- és kulturális rendezvények kiadásainak valamint DMTK-n kívüli sportegyesületek kiadásainak finanszírozási kerete</t>
  </si>
  <si>
    <t>101221                                     Fogyatékossággal élők nappali ellátása</t>
  </si>
  <si>
    <t>Építési beruházásokhoz tartaléka</t>
  </si>
  <si>
    <t>Civil szervezetek, egyházak támogatása és helyi DMTK keretein kívül működő egyéb sportok támogatása (civil pályázat)</t>
  </si>
  <si>
    <t>VI. Általános tartalék</t>
  </si>
  <si>
    <r>
      <t xml:space="preserve">049          </t>
    </r>
    <r>
      <rPr>
        <sz val="12"/>
        <color indexed="53"/>
        <rFont val="Garamond"/>
        <family val="1"/>
        <charset val="238"/>
      </rPr>
      <t xml:space="preserve">     </t>
    </r>
    <r>
      <rPr>
        <sz val="12"/>
        <color indexed="8"/>
        <rFont val="Garamond"/>
        <family val="1"/>
        <charset val="238"/>
      </rPr>
      <t>Közterületi feladatok, közterületi kamerák</t>
    </r>
  </si>
  <si>
    <t>009                                                   Közúti káresemények térítése</t>
  </si>
  <si>
    <t>011 Továbbszámlázás bevétele és kiadása</t>
  </si>
  <si>
    <t>022                                           Utcanévtáblák, gyepmester, városi közkutak</t>
  </si>
  <si>
    <t>023                              Intézményi zöldterület ad hoc feladatainak ellátása</t>
  </si>
  <si>
    <t>025                              "Várossá válás" szeptemberi ünnepsége</t>
  </si>
  <si>
    <t>028               Fásítási program</t>
  </si>
  <si>
    <r>
      <t>060                                               Sportcsarnok működtetése</t>
    </r>
    <r>
      <rPr>
        <sz val="12"/>
        <color indexed="10"/>
        <rFont val="Garamond"/>
        <family val="1"/>
        <charset val="238"/>
      </rPr>
      <t/>
    </r>
  </si>
  <si>
    <t>064                                       Városi munkavállalók munka-egészségügyi felülvizsgálata</t>
  </si>
  <si>
    <t>069                                 Szennyvíz bérleti díj felhasználás előző évekről (Szennyvíz)</t>
  </si>
  <si>
    <t>070                                   Szennyvíz bérleti díj felhasználás előző évekről (Ivóvíz)</t>
  </si>
  <si>
    <t>079                                     Köznevelési intézmények 1-4. évfolyamával kapcsolatos feladatok</t>
  </si>
  <si>
    <t>094                 Művelődési házzal kapcsolatos feladatok</t>
  </si>
  <si>
    <t>099                                         Szolidaritási hozzájárulás</t>
  </si>
  <si>
    <t xml:space="preserve">   203                                           Köztemetés</t>
  </si>
  <si>
    <t>205                                                 Gyermekétkeztetési támogatás</t>
  </si>
  <si>
    <t xml:space="preserve">  206                                                     Hátrányos helyzetű gyermekek üdültetése</t>
  </si>
  <si>
    <t xml:space="preserve">210                                   Téli rezsicsökkentésben korábban nem részesültek" Tűzifa támogatása </t>
  </si>
  <si>
    <t>302                                    Első lakáshoz jutók támogatása</t>
  </si>
  <si>
    <t>303                                    Egyházak eszközfejlesztésének támogatása</t>
  </si>
  <si>
    <t xml:space="preserve">    304                                                DMTK támogatása</t>
  </si>
  <si>
    <t xml:space="preserve"> 305                                      DMTK támogatása</t>
  </si>
  <si>
    <t>307                                 Polgárőr Egyesület támogatása</t>
  </si>
  <si>
    <t xml:space="preserve">  310                                     Bursa Hungarica ösztöndíj</t>
  </si>
  <si>
    <t>311                                                Nemzetiségi Önkormányzatok támogatása</t>
  </si>
  <si>
    <t>313                                 Haraszti Fraxinus Kft.</t>
  </si>
  <si>
    <t>400                                                     Hitel és kamattörlesztés és hitel felvétellel kapcsolatos egyéb költségek; Megelőlegezési hitel</t>
  </si>
  <si>
    <t xml:space="preserve"> 501                                        Állami támogatás</t>
  </si>
  <si>
    <t>012        Felh.c.kölcsön visszatérülése munkavállalótól</t>
  </si>
  <si>
    <t>Építményadó</t>
  </si>
  <si>
    <t>Telekadó</t>
  </si>
  <si>
    <t>Iparűzési adó</t>
  </si>
  <si>
    <t>094</t>
  </si>
  <si>
    <t>Magyar Államkincstárnál vezetett Bölcsődei pályázathoz kapcsolódó számla</t>
  </si>
  <si>
    <t>Részletezőkód száma és megnevezése</t>
  </si>
  <si>
    <t>Részletezőkód</t>
  </si>
  <si>
    <t>Projekt kód</t>
  </si>
  <si>
    <t>működés</t>
  </si>
  <si>
    <t>felhalmozás</t>
  </si>
  <si>
    <t>kiadás</t>
  </si>
  <si>
    <t>bevétel</t>
  </si>
  <si>
    <t>066020                                            Város-, község-gazdálkodási egyéb szolgáltatások</t>
  </si>
  <si>
    <t>045                            Szünidei  veszélyforrások</t>
  </si>
  <si>
    <t>057                          Dunaharaszti Hírek és információs kiadványok</t>
  </si>
  <si>
    <t>091140                       Óvodai nevelés, ellátás működtetési feladatai</t>
  </si>
  <si>
    <t>091220                                              Köznevelési intézmények 1-4. évfolyamán tanulók nevelésével, oktatásával összefüggő működtetési feladatok</t>
  </si>
  <si>
    <t>092120                                Köznevelési intézmények 5-8. évfolyamán tanulók nevelésével, oktatásával összefüggő működtetési feladatok</t>
  </si>
  <si>
    <t>092260                                        Gimnázium és szakközépiskola tanulóinak közismeret és szakmai elméleti oktatásával összefüggő működtetési feladatok</t>
  </si>
  <si>
    <t>082                                     Pedagógiai szakszolgálati feladatok</t>
  </si>
  <si>
    <t>098022                                  Pedagógiai szakszolgáltató tevékenység működtetési feladatai</t>
  </si>
  <si>
    <t>53.</t>
  </si>
  <si>
    <t>55.</t>
  </si>
  <si>
    <t>70.</t>
  </si>
  <si>
    <t>73.</t>
  </si>
  <si>
    <t>74.</t>
  </si>
  <si>
    <t>77.</t>
  </si>
  <si>
    <t>78.</t>
  </si>
  <si>
    <t>87.</t>
  </si>
  <si>
    <t>88.</t>
  </si>
  <si>
    <t>89.</t>
  </si>
  <si>
    <t>90.</t>
  </si>
  <si>
    <t>91.</t>
  </si>
  <si>
    <t>92.</t>
  </si>
  <si>
    <t>94.</t>
  </si>
  <si>
    <t>101.</t>
  </si>
  <si>
    <t>304</t>
  </si>
  <si>
    <t>305</t>
  </si>
  <si>
    <t>311</t>
  </si>
  <si>
    <t>070</t>
  </si>
  <si>
    <t>Részle-  tező- kód</t>
  </si>
  <si>
    <t>Részle- tező- kód</t>
  </si>
  <si>
    <t>316                                 Hátrányos helyzetű gyermekek nyelvoktatása</t>
  </si>
  <si>
    <t>005                                   Szünidei étkezés</t>
  </si>
  <si>
    <t>K-915 Központi, irányítószervi támogatás folyósítása</t>
  </si>
  <si>
    <t>204                                             Rendszeres települési támogatás gyógyszerköltségre</t>
  </si>
  <si>
    <t xml:space="preserve"> 312                                                                   KisDuna TV-től műsoridő vásárlás, támogatása</t>
  </si>
  <si>
    <t>Polgárőr Egyesület támogatása</t>
  </si>
  <si>
    <t>091120</t>
  </si>
  <si>
    <t>072210</t>
  </si>
  <si>
    <t>Működési célú visszatérítendő támogatások, kölcsönök nyújtása államháztartáson kívülre</t>
  </si>
  <si>
    <t>K-508</t>
  </si>
  <si>
    <t>Biztos bevétel</t>
  </si>
  <si>
    <t>Bizonytalan bevétel</t>
  </si>
  <si>
    <t>K-66</t>
  </si>
  <si>
    <t>ebből: meglévő részesedések növeléséhez kapcsolódó kiadások</t>
  </si>
  <si>
    <t>102.</t>
  </si>
  <si>
    <t>103.</t>
  </si>
  <si>
    <t>104.</t>
  </si>
  <si>
    <t>105.</t>
  </si>
  <si>
    <t>106.</t>
  </si>
  <si>
    <t>107.</t>
  </si>
  <si>
    <t>108.</t>
  </si>
  <si>
    <t>111.</t>
  </si>
  <si>
    <t>112.</t>
  </si>
  <si>
    <t>113.</t>
  </si>
  <si>
    <t>114.</t>
  </si>
  <si>
    <t>115.</t>
  </si>
  <si>
    <t>116.</t>
  </si>
  <si>
    <t>117.</t>
  </si>
  <si>
    <t>118.</t>
  </si>
  <si>
    <t>119.</t>
  </si>
  <si>
    <t>120.</t>
  </si>
  <si>
    <t>121.</t>
  </si>
  <si>
    <t>122.</t>
  </si>
  <si>
    <t>123.</t>
  </si>
  <si>
    <t>124.</t>
  </si>
  <si>
    <t>125.</t>
  </si>
  <si>
    <t>126.</t>
  </si>
  <si>
    <t>127.</t>
  </si>
  <si>
    <t>138.</t>
  </si>
  <si>
    <t>137.</t>
  </si>
  <si>
    <t>136.</t>
  </si>
  <si>
    <t>134.</t>
  </si>
  <si>
    <t>133.</t>
  </si>
  <si>
    <t>131.</t>
  </si>
  <si>
    <t>129.</t>
  </si>
  <si>
    <t>128.</t>
  </si>
  <si>
    <t>130.</t>
  </si>
  <si>
    <t>Felhalmozási célú kölcsön nyújtása munkavállalónak</t>
  </si>
  <si>
    <t>132.</t>
  </si>
  <si>
    <t>091250                                     Alapfokú Művészet-oktatással  összefüggő működtetési feladatok</t>
  </si>
  <si>
    <t>135.</t>
  </si>
  <si>
    <t>139.</t>
  </si>
  <si>
    <t>140.</t>
  </si>
  <si>
    <t>141.</t>
  </si>
  <si>
    <t>Dunaharaszti Hétszínvirág Óvoda (Hétszínvirág SNI)</t>
  </si>
  <si>
    <t>039</t>
  </si>
  <si>
    <t>081061</t>
  </si>
  <si>
    <t>I. világháborús hadi síremlék felújítása</t>
  </si>
  <si>
    <t xml:space="preserve">   Ebből: Magyar Államkötvény eladás, Betétfelbontás</t>
  </si>
  <si>
    <t xml:space="preserve">   Ebből: Magyar Államkötvény vásárlás, Betétlekötés</t>
  </si>
  <si>
    <t>066010                                   Zöldterület-kezelés</t>
  </si>
  <si>
    <t>066010                                        Zöldterület-kezelés</t>
  </si>
  <si>
    <t>502                                              Bizonytalan bevételek (előző évekről hozott hátralék)</t>
  </si>
  <si>
    <t>Tartalék összege</t>
  </si>
  <si>
    <t xml:space="preserve">     Ebből: államháztartáson belüli megelőlegezések visszafizetése</t>
  </si>
  <si>
    <t>Dunaharaszti Mese Óvoda (SNI)</t>
  </si>
  <si>
    <t xml:space="preserve">104060   </t>
  </si>
  <si>
    <t>Városi dolgozók jutalom kerete</t>
  </si>
  <si>
    <t>Városi pedagógusok (iskolák) jutalmazási kerete</t>
  </si>
  <si>
    <t>056</t>
  </si>
  <si>
    <t>Karácsonyi díszvilágítás</t>
  </si>
  <si>
    <t>Temető fenntartás eszközbeszerzés</t>
  </si>
  <si>
    <t>Útépítési tervek, műszaki ellenőrzés, eljárási díjak, engedélyek</t>
  </si>
  <si>
    <t>Csapadékvíz elvezetési tervek, műszaki ellenőrzés, eljárási díjak, engedélyek</t>
  </si>
  <si>
    <t>Játszóterek eszközfejlesztése</t>
  </si>
  <si>
    <t>Tréningsorozat óvónők számára és szülők klubja</t>
  </si>
  <si>
    <t>költelező</t>
  </si>
  <si>
    <t>074052    Kábítószer megelőzés programjai, tevékenységei</t>
  </si>
  <si>
    <t>111</t>
  </si>
  <si>
    <t>112</t>
  </si>
  <si>
    <t>Köztisztviselők egészségügyi ellátása</t>
  </si>
  <si>
    <t>Halasztott</t>
  </si>
  <si>
    <t>097                                Kábítószer Egyeztető Fórum</t>
  </si>
  <si>
    <t xml:space="preserve">Dunaharaszti Területi Gondozási Központ (Egyéb járóbeteg) </t>
  </si>
  <si>
    <t>Kiegészítő támogatás a pedagógusok és a pedagógus szakképzettséggel rendelkező
segítők minősítéséből adódó többletkiadásokhoz</t>
  </si>
  <si>
    <t xml:space="preserve">    Ebből: működési célú maradvány</t>
  </si>
  <si>
    <t xml:space="preserve">    Ebből: felhalmozási célú maradvány</t>
  </si>
  <si>
    <t>Magyar Államkincstárnál vezetett Épületenergetikai pályázathoz kapcsolódó számla</t>
  </si>
  <si>
    <t>040</t>
  </si>
  <si>
    <t>041160</t>
  </si>
  <si>
    <t>042                                                  Közterület használat, Reklámtábla</t>
  </si>
  <si>
    <t xml:space="preserve"> ebből: Rendészet</t>
  </si>
  <si>
    <t>006                               Előző évekről hozott hátralék</t>
  </si>
  <si>
    <t>Előző évekről hozott bevételi hátralékok forrása (kiadási oldala 502 részletezőkód)</t>
  </si>
  <si>
    <t>B1-B8</t>
  </si>
  <si>
    <t>072111                                                   Háziorvosi alapellátás</t>
  </si>
  <si>
    <t>064010                                        Közvilágítás</t>
  </si>
  <si>
    <t>066010                                              Zöldterület-kezelés</t>
  </si>
  <si>
    <t>086030                                           Nemzetközi kulturális együttműködés</t>
  </si>
  <si>
    <t>074011                                       Foglalkozás-egészségügyi alapellátások</t>
  </si>
  <si>
    <t>082030                                   Művészeti tevékenységek (kivéve: színház)</t>
  </si>
  <si>
    <t>104031                                    Gyermekek bölcsődében és mini bölcsődében történő ellátása</t>
  </si>
  <si>
    <t>081045                                Szabadidősport- (rekreációs sport-) tevékenység és támogatása</t>
  </si>
  <si>
    <t>081045                                      Szabadidősport- (rekreációs sport-) tevékenység és támogatása</t>
  </si>
  <si>
    <t>900020 Önkormányzati funkcióra nem sorolható bevételei államháztartáson kívülről</t>
  </si>
  <si>
    <t>107051                               Szociális étkeztetés szociális konyhán</t>
  </si>
  <si>
    <t>900020                                                    Önkormányzhati funkcióra nem sorolható bevételei államháztartáson kívülről</t>
  </si>
  <si>
    <t>082043                              Könyvtári állomány feltárása, megőrzése, védelme</t>
  </si>
  <si>
    <t>008                              Közvilágítási  bővítések, átépítések (lakossági kérésre; új vezérlés kiépítése)</t>
  </si>
  <si>
    <t>95.</t>
  </si>
  <si>
    <t>Dunaharaszti Család- és Gyermekjóléti Szolgálat (Nyári napközis tábor)</t>
  </si>
  <si>
    <t>Ingatlanértékesítések bevételi tartaléka</t>
  </si>
  <si>
    <t>Önkormányzati igazgatás</t>
  </si>
  <si>
    <t>Óvodák játszóeszköz fejlesztése</t>
  </si>
  <si>
    <t>Temetkezés gépkocsi vásárlás</t>
  </si>
  <si>
    <t xml:space="preserve">074040                                                                                   Fertőző megbetegedések megelőzése, járványügyi ellátás </t>
  </si>
  <si>
    <t>Intézményi zöldterületek ad-hoc feladatai</t>
  </si>
  <si>
    <t>Okoszebrák</t>
  </si>
  <si>
    <t xml:space="preserve">Földárok építése </t>
  </si>
  <si>
    <t xml:space="preserve">Burkolt árok építése </t>
  </si>
  <si>
    <t>051040          Nem veszélyes hulladék kezelése, ártalmatlanítása</t>
  </si>
  <si>
    <t>084040                           Egyházak közösségi és hitéleti tevékeny-ségének támogatása</t>
  </si>
  <si>
    <t>Népszámlálás tartalék</t>
  </si>
  <si>
    <t>013210        Átfogó tervezési és statisztikai szolgáltatások</t>
  </si>
  <si>
    <t>010 Népszámlálás</t>
  </si>
  <si>
    <t>Jogcímszám</t>
  </si>
  <si>
    <t>2. számú melléklet 1. A települési önkormányzatok általános működésének és ágazati feladatainak támogatása</t>
  </si>
  <si>
    <t>1.1.</t>
  </si>
  <si>
    <t>A TELEPÜLÉSI ÖNKORMÁNYZATOK MŰKÖDÉSÉNEK ÁLTALÁNOS TÁMOGATÁSA</t>
  </si>
  <si>
    <t>1.1.1.</t>
  </si>
  <si>
    <t>A települési önkormányzatok működésének támogatása</t>
  </si>
  <si>
    <t>Önkormányzati hivatal működésének támogatása</t>
  </si>
  <si>
    <t>Településüzemeltetés- zöldterület gazdálkodás támogatása</t>
  </si>
  <si>
    <t>Településüzemeltetés- közvilágítás támogatása</t>
  </si>
  <si>
    <t>Településüzemeltetés- köztemető támogatása</t>
  </si>
  <si>
    <t>Településüzemeltetés- közutak támogatása</t>
  </si>
  <si>
    <t>1.2</t>
  </si>
  <si>
    <t>1.2.1</t>
  </si>
  <si>
    <t>Óvodaműködtetési támogatás - óvoda napi nyitvatartási ideje eléri a nyolc órát</t>
  </si>
  <si>
    <t>1.2.2</t>
  </si>
  <si>
    <t>Az óvodában foglalkoztatott pedagógusok átlagbéralapú támogatása</t>
  </si>
  <si>
    <t>Napi nyolc órát elérő nyitvatartási idővel rendelkező óvodában foglalkoztatott pedagógusok átlagbéralapú támogatása</t>
  </si>
  <si>
    <t>Pedagógusok átlagbér alapú támogatása 8 hó</t>
  </si>
  <si>
    <t>Pedagógusok átlagbér alapú támogatása 4 hó</t>
  </si>
  <si>
    <t>1.2.3</t>
  </si>
  <si>
    <t>1.2.3.1</t>
  </si>
  <si>
    <t>Minősítést 2020. január 1-jéig történő átsorolással megszerző</t>
  </si>
  <si>
    <t>1.2.3.1.1.</t>
  </si>
  <si>
    <t xml:space="preserve">Napi nyolc órát elérő nyitvatartási idővel rendelkező óvodában foglalkoztatott </t>
  </si>
  <si>
    <t>1.2.3.1.1.1.</t>
  </si>
  <si>
    <t>Alapfokozatú végzettségű</t>
  </si>
  <si>
    <t>Pedagógus II. kategóriába sorolt pedagógusok, pedagógus szakképzettséggel rendelkező segítők kiegészítő támogatása</t>
  </si>
  <si>
    <t>Mesterpedagógus, kutatótanár kategóriába sorolt pedagógusok kiegészítő támogatása</t>
  </si>
  <si>
    <t>1.2.3.2</t>
  </si>
  <si>
    <t>Minősítést 2021. január 1-jéig történő átsorolással megszerző</t>
  </si>
  <si>
    <t>1.2.3.2.1</t>
  </si>
  <si>
    <t>1.2.3.2.1.1.</t>
  </si>
  <si>
    <t>1.2.3.2.1.1.1.</t>
  </si>
  <si>
    <t>1.2.3.2.1.1.2.</t>
  </si>
  <si>
    <t>1.2.4.</t>
  </si>
  <si>
    <t>1.2.4.1.</t>
  </si>
  <si>
    <t>1.2.4.1.1</t>
  </si>
  <si>
    <t>A köznevelési Kjtvhr.16.§(6) bekezdése a) pont ac) alpontja és b) pontja alapján nemzetiségi pótlékban részesülő pedagógus</t>
  </si>
  <si>
    <t>1.2.4.1.2</t>
  </si>
  <si>
    <t>A köznevelési Kjtvhr.16.§(6) bekezdése a) pont ab) alpontja alapján nemzetiségi pótlékban részesülő pedagógus</t>
  </si>
  <si>
    <t>1.2.4.1.3.</t>
  </si>
  <si>
    <t>A köznevelési Kjtvhr.16.§(6) bekezdése a) pont aa) alpontja alapján nemzetiségi pótlékban részesülő pedagógus</t>
  </si>
  <si>
    <t>1.2.5</t>
  </si>
  <si>
    <t>Az óvodában foglalkoztatott pedagógusok nevelőmunkáját
közvetlenül segítők átlagbéralapú támogatása</t>
  </si>
  <si>
    <t>1.2.5.1</t>
  </si>
  <si>
    <t>Pedagógus szakképzettséggel nem rendelkező segítők átlagbéralapú támogatása</t>
  </si>
  <si>
    <t>1.2.5.1.2</t>
  </si>
  <si>
    <t>Pedagógus szakképzettséggel rendelkező segítők átlagbéralapú támogatása</t>
  </si>
  <si>
    <t>1.3</t>
  </si>
  <si>
    <t>A TELEPÜLÉSI ÖNKORMÁNYZATOK EGYES SZOCIÁLIS ÉS GYERMEKJÓLÉTI FELADATAINAK TÁMOGATÁSA</t>
  </si>
  <si>
    <t>1.3.1</t>
  </si>
  <si>
    <t>A települési önkormányzatok szociális és gyermekjóléti feladatainak egyéb támogatása</t>
  </si>
  <si>
    <t>1.3.2</t>
  </si>
  <si>
    <t>Család- és gyermekjóléti szolgálat</t>
  </si>
  <si>
    <t>1.3.2.3</t>
  </si>
  <si>
    <t>Szociális étkeztetés -önálló feladatellátás</t>
  </si>
  <si>
    <t>1.3.2.4</t>
  </si>
  <si>
    <t>1.3.2.4.1</t>
  </si>
  <si>
    <t>Személyi gondozás -önálló feladatellátás</t>
  </si>
  <si>
    <t>1.3.2.6</t>
  </si>
  <si>
    <t>Időskorúak nappali intézményi ellátása -önálló feladatellátás</t>
  </si>
  <si>
    <t>1.3.3</t>
  </si>
  <si>
    <t>1.3.3.1</t>
  </si>
  <si>
    <t>Bölcsődei bértámogatás</t>
  </si>
  <si>
    <t>1.3.3.2</t>
  </si>
  <si>
    <t>Bölcsődei üzemeltetési támogatás (miniszteri döntés függvénye)</t>
  </si>
  <si>
    <t>1.3.4.</t>
  </si>
  <si>
    <t>1.3.4.1</t>
  </si>
  <si>
    <t>Bértámogatás</t>
  </si>
  <si>
    <t>1.4</t>
  </si>
  <si>
    <t>A TELEPÜLÉSI ÖNKORMÁNYZATOK GYERMEKÉTKEZTETÉSI FELADATAINAK TÁMOGATÁSA</t>
  </si>
  <si>
    <t>1.4.1</t>
  </si>
  <si>
    <t>Intézményi gyermekétkeztetés támogatása</t>
  </si>
  <si>
    <t>Intézményi  gyermekétkeztetés -bértámogatás</t>
  </si>
  <si>
    <t>1.4.1.2.</t>
  </si>
  <si>
    <t>Intézményi  gyermekétkeztetés - üzemeltetési támogatás (miniszteri döntés függvénye)</t>
  </si>
  <si>
    <t>1.4.2</t>
  </si>
  <si>
    <t>Szünidei étkeztetés támogatása</t>
  </si>
  <si>
    <t>1.5</t>
  </si>
  <si>
    <t>1.5.2</t>
  </si>
  <si>
    <t>2022. év</t>
  </si>
  <si>
    <t>Közhatalmi bevételek</t>
  </si>
  <si>
    <t>ebből: részesedések beszerzése</t>
  </si>
  <si>
    <t>K-65</t>
  </si>
  <si>
    <t>007                    VIII/6734-2/2020/KOZNEVINT támogatás: tehetséggondozó verseny, környezettudatos nevelési program</t>
  </si>
  <si>
    <t>Dunaharaszti Területi Gondozási Központ  (Iskolai intézményi étkeztetés)</t>
  </si>
  <si>
    <t>086                                   Konyhák fejlesztése</t>
  </si>
  <si>
    <t>112                                   Dunaharaszti Városi Bölcsőde új tagintézmény PM_BOLCSODEFEJLESZTES_2019/20 pályázaton      KÍVÜLI</t>
  </si>
  <si>
    <t>Vízi közmű bérleti díj elkül. Szla (kiadási oldala 069, 070 részgazda)</t>
  </si>
  <si>
    <t xml:space="preserve">082044 </t>
  </si>
  <si>
    <t xml:space="preserve">Veszélyhelyzet miatti helyi adóbevétel kiesés tartaléka </t>
  </si>
  <si>
    <t>ebből: Posta</t>
  </si>
  <si>
    <t>K48</t>
  </si>
  <si>
    <t>207                                                Krízishelyzet és egyéb szociális célú támogatás</t>
  </si>
  <si>
    <t xml:space="preserve">208                                               Szemétdíj átvállalása rászorultsági alapon </t>
  </si>
  <si>
    <t>Szennyvíz bérleti díj felhasználás előző évek (Szennyvíz)</t>
  </si>
  <si>
    <t xml:space="preserve"> Szennyvíz bérleti díj felhasználás előző évek (Ivóvíz)</t>
  </si>
  <si>
    <t>Dunaharaszti Városi Bölcsőde új tagintézmény PM_BOLCSODEFEJLESZTES_2019/20 pályázaton KÍVÜLI</t>
  </si>
  <si>
    <t>saját forrás</t>
  </si>
  <si>
    <t>072112</t>
  </si>
  <si>
    <t>I. Háziorvosi ügyeleti ellátás</t>
  </si>
  <si>
    <t>018030</t>
  </si>
  <si>
    <t>Támogatási célú finanszírozási műveletek</t>
  </si>
  <si>
    <t>2022. évi állami normatíva mindösszesen szolidaritási hozzájárulás befizetése után</t>
  </si>
  <si>
    <t>Városi dolgozók temetési és gyermekszületési támogatása</t>
  </si>
  <si>
    <t>2022. évi választás</t>
  </si>
  <si>
    <t>2022. évi népszámlálás</t>
  </si>
  <si>
    <t>071                                  Óvodások hallásvizsgálata, szemészeti és orthopédiai vizsgálata, fogászati szűrése</t>
  </si>
  <si>
    <t>Narancsliget Alapítvány támogatása</t>
  </si>
  <si>
    <t>Sport-szigeti játszótér fejlesztése</t>
  </si>
  <si>
    <t>Útépítési és kerékpárút építési tervek (előző évi maradvány: )</t>
  </si>
  <si>
    <t>Fekvőrendőrök, pollerek kihelyezése</t>
  </si>
  <si>
    <t xml:space="preserve">Járdaépítés Csokonai u. </t>
  </si>
  <si>
    <t>Paradicsom-szigeti utcák építése</t>
  </si>
  <si>
    <t>Fecskefű u. stabilizálása, árokkal (Paál L. u.-Zágoni u. szakasz)</t>
  </si>
  <si>
    <t>Sport-szigeti parkoló stabilizálása</t>
  </si>
  <si>
    <t>116</t>
  </si>
  <si>
    <t>142.</t>
  </si>
  <si>
    <t>Damjanich u. Orvosi rendelő csapadékvíz-elvezetése</t>
  </si>
  <si>
    <t>24 tantermes iskola szennyvíz-elvezetése II. ütem</t>
  </si>
  <si>
    <t>052080                                Szennyvízcsatorna építése, fenntartása, üzemeltet.</t>
  </si>
  <si>
    <t>063080                               Vízellátással kapcsolatos közmű építése, fenntart.</t>
  </si>
  <si>
    <t>143.</t>
  </si>
  <si>
    <t>144.</t>
  </si>
  <si>
    <t>044</t>
  </si>
  <si>
    <t>145.</t>
  </si>
  <si>
    <t>Intézményi ingatlanokkal kapcsolatos tervezések, műszaki ellenőrzések</t>
  </si>
  <si>
    <t>017</t>
  </si>
  <si>
    <t>102031                 Idősek nappali ellátása</t>
  </si>
  <si>
    <t>146.</t>
  </si>
  <si>
    <t>Piaci konténerépület könnyűszerkezetes építése</t>
  </si>
  <si>
    <t>066</t>
  </si>
  <si>
    <t>066                               "D" típusú sportpark</t>
  </si>
  <si>
    <t>147.</t>
  </si>
  <si>
    <t>062      Hétszínvirág Ó. Bérleti díj</t>
  </si>
  <si>
    <t>Paradicsomsziget Egyesület támogatása</t>
  </si>
  <si>
    <t>Közterületi kamerák beszerzése</t>
  </si>
  <si>
    <t>Útépítési beruházások műszaki ellenőrzése</t>
  </si>
  <si>
    <t>Játszóterek vízellátásának kiépítése (kútfúrás)</t>
  </si>
  <si>
    <t>144</t>
  </si>
  <si>
    <t>148.</t>
  </si>
  <si>
    <t>149.</t>
  </si>
  <si>
    <t>150.</t>
  </si>
  <si>
    <t>151.</t>
  </si>
  <si>
    <t>146                   Szivárvány Óvoda bővítés BELÜLI</t>
  </si>
  <si>
    <t>152.</t>
  </si>
  <si>
    <t>147                   Szivárvány Óvoda bővítés KÍVÜLI</t>
  </si>
  <si>
    <t>146</t>
  </si>
  <si>
    <t>Szivárvány Óvoda bővítés</t>
  </si>
  <si>
    <t>Rozmaring utca csapadékvíz-elvezetése</t>
  </si>
  <si>
    <t>Szekér utcai játszótér vásárlás</t>
  </si>
  <si>
    <t>Fő út 64-66. ingatlanvásárlás</t>
  </si>
  <si>
    <t>Ingatlanvásárlások</t>
  </si>
  <si>
    <t>Szennyvíz bérleti díj felhasználás 2022. év (Szennyvíz)</t>
  </si>
  <si>
    <t xml:space="preserve"> Szennyvíz bérleti díj felhasználás 2022. év (Ivóvíz)</t>
  </si>
  <si>
    <t>016020        Országos és helyi népszavazással kapcsolatos tevékenységek</t>
  </si>
  <si>
    <t>2022. évben megvalósítható halasztott tételek</t>
  </si>
  <si>
    <t>2022. évi ütem forrásai</t>
  </si>
  <si>
    <t>2022. évi állami normatíva igénylés Magyarország 2022. évi központi költségvetéséről szóló 2021. évi XC. törvény alapján</t>
  </si>
  <si>
    <t>Üres álláshelyek 2022.01.01.</t>
  </si>
  <si>
    <t>091140</t>
  </si>
  <si>
    <t>148</t>
  </si>
  <si>
    <t>148                   Parti sétány és tanösvény BELÜLI</t>
  </si>
  <si>
    <t>149                   Parti sétány és tanösvény KÍVÜLI</t>
  </si>
  <si>
    <t>153.</t>
  </si>
  <si>
    <t>154.</t>
  </si>
  <si>
    <t>Toldi u.-Táncsics M. u. közötti szakaszon csomópontok átépítése</t>
  </si>
  <si>
    <t>Települési támogatás: Időskorúak és rászoruló családok karácsonyi csomagja és rendezvényeik</t>
  </si>
  <si>
    <t>Beruházások, felújítások műszaki ellenőrzése (műszaki iroda)</t>
  </si>
  <si>
    <t>049010               Máshova nem sorolt gazdasági események</t>
  </si>
  <si>
    <t>93.</t>
  </si>
  <si>
    <t>149</t>
  </si>
  <si>
    <t>Parti sétány és tanösvény (kívüli)</t>
  </si>
  <si>
    <t>117                           Bezerédi Sportpark pályázaton kívüli</t>
  </si>
  <si>
    <t>155.</t>
  </si>
  <si>
    <t>144                   Autotechnika BELÜLI</t>
  </si>
  <si>
    <t>145                   Autotechnika KÍVÜLI</t>
  </si>
  <si>
    <t>140</t>
  </si>
  <si>
    <t>018030         Támogatás célú finanszírozási műveletek</t>
  </si>
  <si>
    <t>DMTK Versenysport és utánpótlás-nevelési tevékenységek támogatása 2022.</t>
  </si>
  <si>
    <t>DMTK Versenysport és utánpótlás-nevelési tevékenységek támogatása 2021. évi maradvány</t>
  </si>
  <si>
    <t>DMTK Sportpálya rezsi kiadások támogatása 2021. évi maradvány</t>
  </si>
  <si>
    <t>DMTK Sportlétesítmények, edzőtáborok működési támogatása 2022.</t>
  </si>
  <si>
    <t>134                    Fő út 35. Gyermekorvosi rendelő pályázat BELÜLI (előző évi maradvány: 330.331,- Ft)</t>
  </si>
  <si>
    <t>HÉSZ, SZT, TSZT módosítás (előző évi maradvány: 1.409.700,- Ft)</t>
  </si>
  <si>
    <t>Kinizsi utcai átemelő szivattyú tervezése (előző évi maradvány: 406.400,- Ft)</t>
  </si>
  <si>
    <t>Némedi út parkoló, kerékpárút, járda építése (műszaki ellenőrzés is) (előző évi maradvány: 1.905.000,- Ft)</t>
  </si>
  <si>
    <t>Újhegyi dűlő vízellátása (előző évi maradvány: 2540.000,- Ft)</t>
  </si>
  <si>
    <t>Újhegyi dűlő csatornázása (előző évi maradvány: 2540.000,- Ft)</t>
  </si>
  <si>
    <t>Gyalogátkelők kiépítése (előző évi maradvány: 2.336.777,- Ft)</t>
  </si>
  <si>
    <t>309</t>
  </si>
  <si>
    <t>Temetkezés hűtő beszerzés (előző évi maradvány: 2.730.500,- Ft)</t>
  </si>
  <si>
    <t>136</t>
  </si>
  <si>
    <t>Dunaharaszti Gyermekorvosi Rendelő előtető felújítása (előző évi maradvány: 759.054,- Ft)</t>
  </si>
  <si>
    <t>140                       Dunaharaszti-Taksony kerékpárút építés BELÜLI</t>
  </si>
  <si>
    <t>141                       Dunaharaszti-Taksony kerékpárút építés KÍVÜLI</t>
  </si>
  <si>
    <t>096</t>
  </si>
  <si>
    <t>Dunaharaszti Szivárvány Óvoda fa burkolatú oromfal homlokzatának felújítása (előző évi maradvány: 18.743.098,- Ft)</t>
  </si>
  <si>
    <t>Sport-szigeti napközis tábor (előző évi maradvány: 444.500,- Ft)</t>
  </si>
  <si>
    <t xml:space="preserve">Sportcsarnok beruházás </t>
  </si>
  <si>
    <t>Sportcsarnok védőháló (előző évi maradvány: 1.438.783,- Ft)</t>
  </si>
  <si>
    <t>Dunaharaszti Városi Könyvtár - Könyvtári elkülönített SZJA 1%-os számla (előző évi maradvány: 340.528,- Ft)</t>
  </si>
  <si>
    <t>Dunaharaszti József Attila Művelődési Ház (Közművelődési tevékenység) (előző évi maradvány: 3.451.127,- Ft)</t>
  </si>
  <si>
    <t>*1.1.1.1.</t>
  </si>
  <si>
    <t>*1.1.1.2</t>
  </si>
  <si>
    <t>*1.1.1.3</t>
  </si>
  <si>
    <t>*1.1.1.4</t>
  </si>
  <si>
    <t>*1.1.1.5</t>
  </si>
  <si>
    <t>*1.1.1.6</t>
  </si>
  <si>
    <t>*1.1.1.7</t>
  </si>
  <si>
    <t>*1.2..1..1</t>
  </si>
  <si>
    <t>*1.2.2.1.</t>
  </si>
  <si>
    <t>*1.2.3.1.1.1.1.</t>
  </si>
  <si>
    <t>*1.2.3.1.1.1.2.</t>
  </si>
  <si>
    <t>*1.2.5.1.1</t>
  </si>
  <si>
    <t>*1.3.2.1.</t>
  </si>
  <si>
    <t>*1.3.2.3.1.</t>
  </si>
  <si>
    <t>*1.3.2.4.2</t>
  </si>
  <si>
    <t>*1.3.2.6.1</t>
  </si>
  <si>
    <t>*1.3.3.1.1.</t>
  </si>
  <si>
    <t>*1.3.3.1.2.</t>
  </si>
  <si>
    <t>*1.4.1.1.</t>
  </si>
  <si>
    <t>A csillaggal jelölt részek a 2022. évi bértámogatás összegeit is tartalmazzák</t>
  </si>
  <si>
    <t xml:space="preserve">8230/1 hrsz. területen elektromos hálózatépítés </t>
  </si>
  <si>
    <t>Szigetszentmiklósi Szakorvosi Rendelőintézet támogatása fül-orr-gégészeti eszközök beszerzésére</t>
  </si>
  <si>
    <t>Dunaharaszti Város Önkormányzat Képviselő-testületének 73/2021. (XI.29.) számú határozata: 6057/5 hrsz. ingatlanvásárlás</t>
  </si>
  <si>
    <t>Dunaharaszti Város Önkormányzat Képviselő-testületének 80/2021. (XII.3) sz. Kt. határozata: 0178/37 hrsz. ingatlanvásárlás</t>
  </si>
  <si>
    <t>PM_CSAPVIZGAZD_2017/39 sz. állami támogatás fel nem használt összegének visszautalása (A3 mederburkolás)</t>
  </si>
  <si>
    <t>018030                                      Támogatási célú finanszírozási műveletek</t>
  </si>
  <si>
    <t>József Attila Művelődési Házban kazáncsere</t>
  </si>
  <si>
    <t>150                   Bölcsőde (Kossuth Lajos utcai) vizesblokk felújítás              BELÜLI</t>
  </si>
  <si>
    <t>151                   Bölcsőde (Kossuth Lajos utcai) vizesblokk felújítás              KÍVÜLI</t>
  </si>
  <si>
    <t>150</t>
  </si>
  <si>
    <t>057</t>
  </si>
  <si>
    <t>ebből: Dunaharaszti Hírek</t>
  </si>
  <si>
    <t>intfin</t>
  </si>
  <si>
    <t>maradvány</t>
  </si>
  <si>
    <t>ktgv egyenleg</t>
  </si>
  <si>
    <t>Sportpark járda és várakozósáv építése (előző évi maradvány: 482.600,- Ft)</t>
  </si>
  <si>
    <t>Sportpark járda és várakozósáv csapadékvíz-elvezetés (előző évi maradvány: 152.400,- Ft)</t>
  </si>
  <si>
    <t xml:space="preserve">Területi Gondozási Központ új helyének kialakítása (előző évi maradvány: 698.581,- Ft) </t>
  </si>
  <si>
    <t>Felhalmozási célú támogatások államháztartáson belülről</t>
  </si>
  <si>
    <t>Felhalmozási bevételek</t>
  </si>
  <si>
    <t>7849/1 és 7849/3 helyrajzi számú ingatlanok értékesítése</t>
  </si>
  <si>
    <t xml:space="preserve">4817/15 hrsz. Pannónia utca 11. szám alatti telek értékesítésének </t>
  </si>
  <si>
    <t>Magánszemélyek kommunális adója</t>
  </si>
  <si>
    <t>Egyéb adóbevételek (bírság, pótlék)</t>
  </si>
  <si>
    <t>Adóbevételek előző évi hátraléka</t>
  </si>
  <si>
    <t>B34</t>
  </si>
  <si>
    <t>B351</t>
  </si>
  <si>
    <t>B355</t>
  </si>
  <si>
    <t>B36</t>
  </si>
  <si>
    <t>Anyakönyvi események</t>
  </si>
  <si>
    <t>Idegenforgalmi adó tartózkodás alapján</t>
  </si>
  <si>
    <t>109.</t>
  </si>
  <si>
    <t>110.</t>
  </si>
  <si>
    <t xml:space="preserve">   500                           Önkormányzati adók (Helyi adóbevételek)</t>
  </si>
  <si>
    <t>B52</t>
  </si>
  <si>
    <t>083050</t>
  </si>
  <si>
    <t>II. Televízió-műsor szolgáltatása és támogatása</t>
  </si>
  <si>
    <t>III. Civil szervezetek működési támogatása</t>
  </si>
  <si>
    <t>IV. Polgári honvédelem ágazati feladatai, a lakosság felkészítése</t>
  </si>
  <si>
    <t>V. Városi és elővárosi közúti személyszállítás</t>
  </si>
  <si>
    <t>VII. Civil  szervezetek program támogatása</t>
  </si>
  <si>
    <t>VIII. Szennyvízcsatorna építése, fenntartása, üzemeltetése</t>
  </si>
  <si>
    <t>IX. Támogatási célú finanszírozási műveletek</t>
  </si>
  <si>
    <t>Módosított előirányzat</t>
  </si>
  <si>
    <t>002                                    2022. évi csap.víz elvezetések</t>
  </si>
  <si>
    <t>003                                       Városgazdálkodási feladatok</t>
  </si>
  <si>
    <t>005                                     Szennyvíz beruházások saját forrás</t>
  </si>
  <si>
    <t>006                                       Ivóvíz beruházások saját forrás</t>
  </si>
  <si>
    <t>007                                                     Ingatlanfejlesztések (Ingatlan vásárlás)</t>
  </si>
  <si>
    <t>012      Felh.c.kölcsön visszatérülése munkavállalótól</t>
  </si>
  <si>
    <t>013                                Tárgyi eszköz értékesítés (Ingatlanok is)</t>
  </si>
  <si>
    <t>014                       Egyéb bevételek</t>
  </si>
  <si>
    <t>015                           Egyéb adóbevételek</t>
  </si>
  <si>
    <t>017                         Területi Gondozási Központ új helyének kialakítása</t>
  </si>
  <si>
    <t>018                Környezetvé-delmi program felülvizsgálata</t>
  </si>
  <si>
    <t>020               Önkormányzati igazgatás</t>
  </si>
  <si>
    <t>021                        P+R parkolók fenntartása</t>
  </si>
  <si>
    <t>024                                     Városi településfejlesztési koncepció, településszerkezeti terv</t>
  </si>
  <si>
    <t>030                                       Zöldterület kezelés</t>
  </si>
  <si>
    <t>031                              Külterületi szemét és veszélyes hulladék gyűjtése</t>
  </si>
  <si>
    <t>051020                    Nem veszélyes (települési) hulladék összetevőinek válogatása, elkülönített begyűjtése, szállítása, átrakása</t>
  </si>
  <si>
    <t>032                                           Szelektív hulladékgyűjtés és zöldhulladék gyűjtés</t>
  </si>
  <si>
    <t>033                         Lomtalanítás és köztéri szemétgyűjtés</t>
  </si>
  <si>
    <t>034                                                     Helyi közutak fenntartása, rendkívüli síkosság mentesítés</t>
  </si>
  <si>
    <t>035                                            Csapadékvíz-belvíz üzemeltetés; Kül- és belterületi nyílt ár- és belvízelvezető rendszer üzemeltetése;E-közműrendszer üzemeltetése</t>
  </si>
  <si>
    <t xml:space="preserve">036                                     Vagyongazd. Kiadások (Közbeszerzés kiadásai; vagyonbiztosítás; energetikai tanácsadás; GDPR megfelelés; DHRV Kft. Végelsz.bev.) </t>
  </si>
  <si>
    <r>
      <t xml:space="preserve">037                         </t>
    </r>
    <r>
      <rPr>
        <sz val="12"/>
        <color indexed="17"/>
        <rFont val="Garamond"/>
        <family val="1"/>
        <charset val="238"/>
      </rPr>
      <t xml:space="preserve">  </t>
    </r>
    <r>
      <rPr>
        <sz val="12"/>
        <rFont val="Garamond"/>
        <family val="1"/>
        <charset val="238"/>
      </rPr>
      <t xml:space="preserve">Társulások tagdíjai, Alsófalusi Nyugdíjasklub, </t>
    </r>
    <r>
      <rPr>
        <sz val="12"/>
        <color indexed="8"/>
        <rFont val="Garamond"/>
        <family val="1"/>
        <charset val="238"/>
      </rPr>
      <t>Városi ösztöndíj</t>
    </r>
  </si>
  <si>
    <t>039                         Játszóterek felülvizsgálata (Játszóterek eszközfejlesztése)</t>
  </si>
  <si>
    <t>040                                              Terület előkészítés, földmérés és eljárási díjak</t>
  </si>
  <si>
    <t>041                     Piac üzemeltetés</t>
  </si>
  <si>
    <t>043                                         Lakihegy rádió</t>
  </si>
  <si>
    <t>044                                        Sport-szigeti napközis tábor</t>
  </si>
  <si>
    <t>050                          Rendőrségi feladatok</t>
  </si>
  <si>
    <t>052                      Lakásgazdál-kodással kapcsolatos feladatok</t>
  </si>
  <si>
    <t xml:space="preserve">054             Temető fenntartás </t>
  </si>
  <si>
    <t>056                                         Közvilágítás; parkok díszvilágításának karbantartása; karácsonyi díszvilágítás felszerelése, karbantartása; Mért közvil.hálózat üzemeltetése;</t>
  </si>
  <si>
    <t>058                      Kiemelt állami és önkormányzati rendezvények</t>
  </si>
  <si>
    <t>061                                          Mobil jégpálya üzemeltetése</t>
  </si>
  <si>
    <t>063                               Művészeti Alkotótábor</t>
  </si>
  <si>
    <t xml:space="preserve">065                            Park tervezése, szabadidős fejlesztések </t>
  </si>
  <si>
    <t>069                                Szennyvíz bérleti díj felhasználás 2022. év (Szennyvíz)</t>
  </si>
  <si>
    <t>070                                Szennyvíz bérleti díj felhasználás 2022. év                 (Ivóvíz)</t>
  </si>
  <si>
    <t>072                    Rota vírus</t>
  </si>
  <si>
    <r>
      <t xml:space="preserve">073                          </t>
    </r>
    <r>
      <rPr>
        <sz val="12"/>
        <color indexed="8"/>
        <rFont val="Garamond"/>
        <family val="1"/>
        <charset val="238"/>
      </rPr>
      <t xml:space="preserve"> </t>
    </r>
    <r>
      <rPr>
        <sz val="12"/>
        <rFont val="Garamond"/>
        <family val="1"/>
        <charset val="238"/>
      </rPr>
      <t>Tüdőszűrés</t>
    </r>
    <r>
      <rPr>
        <sz val="12"/>
        <color indexed="8"/>
        <rFont val="Garamond"/>
        <family val="1"/>
        <charset val="238"/>
      </rPr>
      <t xml:space="preserve">, </t>
    </r>
    <r>
      <rPr>
        <sz val="12"/>
        <rFont val="Garamond"/>
        <family val="1"/>
        <charset val="238"/>
      </rPr>
      <t>Férfi és női lakosság szűrőgizsgálatainak megszervezése</t>
    </r>
  </si>
  <si>
    <t>074                                     Betegszállítási szolgáltatások igénybevétele</t>
  </si>
  <si>
    <t>075               Átmeneti bentlakásos otthonban elhelyezés</t>
  </si>
  <si>
    <t>076                                           Mentési pont</t>
  </si>
  <si>
    <t>077                                  Fogyatékossággal élők nappali ellátása</t>
  </si>
  <si>
    <t>080                                    Köznevelési intézmények 5-8. évfolyamával kapcsolatos feladatok</t>
  </si>
  <si>
    <t>081                               Gimnáziumi feladatok</t>
  </si>
  <si>
    <t>083                           Alapfokú Művészet-oktatási feladatok</t>
  </si>
  <si>
    <t>085                                Intézmény finanszírozás</t>
  </si>
  <si>
    <t>087                          Elektromos autó töltőállomás</t>
  </si>
  <si>
    <t>088                         Anna-ház posta</t>
  </si>
  <si>
    <t>089                                   ÁFA bevallás bevétel és kiadás (telekeladások ÁFA befizetése)</t>
  </si>
  <si>
    <t>091                                     Orvosi Rendelő, Gyermekorvosi rendelő kiadásai</t>
  </si>
  <si>
    <t>092                        Innovatív fejlesztések (E-városom, Haraszti kártya)</t>
  </si>
  <si>
    <t>093              Bölcsődei feladatok</t>
  </si>
  <si>
    <t>095                                             Könyvtári feladatok</t>
  </si>
  <si>
    <t>096                                Óvodai feladatok</t>
  </si>
  <si>
    <t>100                                      Koronavírus járvánnyal kapcsolatos kiadások</t>
  </si>
  <si>
    <t>111                                       Dunaharaszti Városi Bölcsőde új tagintézmény PM_BOLCSODEFEJLESZTES_2019/20 pályázaton      BELÜLI</t>
  </si>
  <si>
    <t>113                                  Új iskola 1-4. évfolyamával kapcsolatos feladatok</t>
  </si>
  <si>
    <t>114                              Új iskola 5-8. évfolyamával kapcsolatos feladatok</t>
  </si>
  <si>
    <t>115                                Új iskola Alapfokú Művészetoktatási feladatok</t>
  </si>
  <si>
    <t>116                          Bezerédi Sportpark pályázaton belüli</t>
  </si>
  <si>
    <t>126                                    A3 mederburkolás pályázaton                          BELÜLI</t>
  </si>
  <si>
    <t>131                  Tájház felújítása</t>
  </si>
  <si>
    <t>136                     Fő út 35. Gyermekorvosi rendelő pályázat KÍVÜLI</t>
  </si>
  <si>
    <t>309                                          Helyi tömegközlekedés támogatása és működtetése</t>
  </si>
  <si>
    <t>002                          Polgármesteri Hivatal</t>
  </si>
  <si>
    <t>004                          Anyakönyvi feladatok</t>
  </si>
  <si>
    <t>005                   Önkormányzati választás</t>
  </si>
  <si>
    <t>006                                             Európai parlamenti képviselő választás</t>
  </si>
  <si>
    <t>007                                              Rendészet</t>
  </si>
  <si>
    <t>008                              Előző évekről hozott hátralék</t>
  </si>
  <si>
    <t>012      Népszavazás</t>
  </si>
  <si>
    <t>011             Országgyűlési választás</t>
  </si>
  <si>
    <t xml:space="preserve">002                    Hétszínvirág Óvoda      </t>
  </si>
  <si>
    <r>
      <rPr>
        <sz val="12"/>
        <color indexed="10"/>
        <rFont val="Garamond"/>
        <family val="1"/>
        <charset val="238"/>
      </rPr>
      <t>003</t>
    </r>
    <r>
      <rPr>
        <sz val="11"/>
        <color theme="1"/>
        <rFont val="Calibri"/>
        <family val="2"/>
        <charset val="238"/>
        <scheme val="minor"/>
      </rPr>
      <t xml:space="preserve">   </t>
    </r>
    <r>
      <rPr>
        <sz val="12"/>
        <rFont val="Garamond"/>
        <family val="1"/>
        <charset val="238"/>
      </rPr>
      <t xml:space="preserve">                         Hétszínvirág Óvoda sajátos ….</t>
    </r>
  </si>
  <si>
    <t>004                                             Zöld Óvoda</t>
  </si>
  <si>
    <t>005                                             Támogatások elszámolása</t>
  </si>
  <si>
    <t>003                                Napsugár Óvoda</t>
  </si>
  <si>
    <t>005                                                Előző évekről hozott hátralék</t>
  </si>
  <si>
    <t>006                                               Támogatások elszámolása</t>
  </si>
  <si>
    <t>005                              Előző évekről hozott hátralék</t>
  </si>
  <si>
    <t>002                      Gyermekjóléti szolgáltatás</t>
  </si>
  <si>
    <t>003                                   Gyermekek átmeneti otthona</t>
  </si>
  <si>
    <t>004                                   Hátrányos helyzetű gyermekek, fiatalok …</t>
  </si>
  <si>
    <t>006                                                      Nyári napközis tábor</t>
  </si>
  <si>
    <t>003                                          Szociális étkeztetés</t>
  </si>
  <si>
    <t>006                               Damjanich u. 32.                                        Orvosi rendelő</t>
  </si>
  <si>
    <t>007                                 Fő út 35. Gyermekorvosi rendelő</t>
  </si>
  <si>
    <t>014                                      Iskolai intézményi étkeztetés</t>
  </si>
  <si>
    <t>017                                                      Előző évekről hozott hátralék</t>
  </si>
  <si>
    <t>018                                                     Nyári napközi étkezés</t>
  </si>
  <si>
    <t>002                                Könyvtári állomány gyarapítása</t>
  </si>
  <si>
    <t>006                        Előző évi hátralék</t>
  </si>
  <si>
    <t>004                                        Könyvtári szolgáltatások</t>
  </si>
  <si>
    <t>007                             Könyvtári elkülönített SZJA 1%-os számla</t>
  </si>
  <si>
    <t xml:space="preserve">002                            Laffert-kúria </t>
  </si>
  <si>
    <t>004                                                Helytörténeti emléktár</t>
  </si>
  <si>
    <t>003                     Százszorszép Óvoda</t>
  </si>
  <si>
    <t>005                                 Támogatások elszámolása</t>
  </si>
  <si>
    <t>006                       VIII/6734-2/2020/KOZNEVINT támogatás: tehetséggondozó verseny, környezettudatos nevelési program</t>
  </si>
  <si>
    <t>Európai Uniós feladatok módosított előirányzat                           (...részgazda)</t>
  </si>
  <si>
    <t>Eredeti normatíva összege</t>
  </si>
  <si>
    <t>Módosított normatíva összege</t>
  </si>
  <si>
    <t>Módosított létszámkeret    (fő)</t>
  </si>
  <si>
    <t>4.sz.Felhalm.</t>
  </si>
  <si>
    <t>5.sz.Műk.</t>
  </si>
  <si>
    <t>6.sz.Beruházások</t>
  </si>
  <si>
    <t>7.sz.Felújtások</t>
  </si>
  <si>
    <t>8.sz.Tartalékok</t>
  </si>
  <si>
    <t>9.sz.Szociális</t>
  </si>
  <si>
    <t>10.sz.Működési</t>
  </si>
  <si>
    <t>10.sz.Felhalmozási</t>
  </si>
  <si>
    <t>11.sz.Állami</t>
  </si>
  <si>
    <t>13. Adók</t>
  </si>
  <si>
    <t>14. Felhalm bev.</t>
  </si>
  <si>
    <t xml:space="preserve">066020                                 Város-és községgazdálkodási egyéb szolgáltatás        </t>
  </si>
  <si>
    <t>301                               Lakossági járdaépítés</t>
  </si>
  <si>
    <t>317                               Államháztartáson belüli támogatások</t>
  </si>
  <si>
    <t>213                       Ukrán menekültek megsegítése</t>
  </si>
  <si>
    <t>156.</t>
  </si>
  <si>
    <t>Ukrán menekültek megsegítése</t>
  </si>
  <si>
    <t>3. számú melléklet: A helyi önkormányzatok kiegészítő támogatásai</t>
  </si>
  <si>
    <t>I.11.</t>
  </si>
  <si>
    <t>I.12.</t>
  </si>
  <si>
    <t>Szociális ágazati összevont pótlék és egészségügyi kiegészítő pótlék</t>
  </si>
  <si>
    <t>I.13.d</t>
  </si>
  <si>
    <t>A települési önkormányzatok könyvtári célú érdekeltségnövelő támogatása</t>
  </si>
  <si>
    <t>I.14.</t>
  </si>
  <si>
    <t>Kulturális illetménypótlék</t>
  </si>
  <si>
    <t>II.2.1.6.3.k</t>
  </si>
  <si>
    <t>A huszonötezer főnél nem nagyobb lakosságszámú települési önkormányzatok támogatása</t>
  </si>
  <si>
    <t>3. számú melléklet összesen</t>
  </si>
  <si>
    <t>Baktay Ervin Gimnázium támogatása</t>
  </si>
  <si>
    <t>Hunyadi János Általános Iskola támogatása</t>
  </si>
  <si>
    <t>117</t>
  </si>
  <si>
    <t>Lehmann kapitány u. átemelő szivattyú tervezése</t>
  </si>
  <si>
    <t>Tulipán-tér közvilágítás felújítás</t>
  </si>
  <si>
    <t>Városi Temető ravatalozó felújítása</t>
  </si>
  <si>
    <t>X. Versenysport- és utánpótlás-nevelési tevékenység és támogatás</t>
  </si>
  <si>
    <t>030</t>
  </si>
  <si>
    <t>066010</t>
  </si>
  <si>
    <t>Némedi úton kialakított zöldterületi sávok fásítása</t>
  </si>
  <si>
    <t>Csapadékvízelvezetés-tervezések</t>
  </si>
  <si>
    <t>Csapadékvíz-beruházások lakossági kérésre</t>
  </si>
  <si>
    <t>Parkoló hálózat víznyelő aknáiba Bárczy-olajszűrő beépítése</t>
  </si>
  <si>
    <t>A 2021. évi maradvány terhére képzett tartalék</t>
  </si>
  <si>
    <t>036</t>
  </si>
  <si>
    <t>081045</t>
  </si>
  <si>
    <t>152</t>
  </si>
  <si>
    <t>152                  Sport-sziget turizmusfejlesztése BELÜLI</t>
  </si>
  <si>
    <t>153                      Sport-sziget turizmusfejlesztése KÍVÜLI</t>
  </si>
  <si>
    <t>Nem Adom Fel Alapítvány támogatása</t>
  </si>
  <si>
    <t>Egyházak eszközfejlesztésének támogatása (Dunaharaszti Katolikus Egyház Rákóczi-ligeti új templom padok)</t>
  </si>
  <si>
    <t>"D" típusú sportpark tereprendezés, előkészítés</t>
  </si>
  <si>
    <t>Dunaharaszti Polgármesteri Hivatal (Rendészet)</t>
  </si>
  <si>
    <t>Laffert-kúria tetőfelújítás</t>
  </si>
  <si>
    <t xml:space="preserve">3307/6. hrsz.  Batthyány utca 2. szám alatti ingatlan értékesítése </t>
  </si>
  <si>
    <t>156</t>
  </si>
  <si>
    <t>156                      Család- és Gyermekjóléti Szolgálat új épülete BELÜLI</t>
  </si>
  <si>
    <t>157                      Család- és Gyermekjóléti Szolgálat új épülete KÍVÜLI</t>
  </si>
  <si>
    <t>Család- és Gyermekjóléti Szolgálat új épülete</t>
  </si>
  <si>
    <t>Sport-sziget turizmusfejlesztése (TOP_PLUSZ-1.1.3-21 pályázat) belüli</t>
  </si>
  <si>
    <t>Egyes szociális és gyermekjóléti feladatok támogatása</t>
  </si>
  <si>
    <t>Telephely-engedélyezési eljárási díj</t>
  </si>
  <si>
    <t>Földmedrű árkok és burkolt beton vízelvezető és szikkasztó árkok építése (Paál L. u., Fecskefű u., Homoktövis u., Munkácsy M. u., Nagy Lajos u., Kölcsey F. u., Attila u., Szent László u.)</t>
  </si>
  <si>
    <t>Szennyvíz bérleti díj felhasználás előző évek (Ivóvíz) (előző évi maradvány: 508.000,- Ft)</t>
  </si>
  <si>
    <t xml:space="preserve">308                                                     Működési támogatás:             ÁHT-n kívüli                 </t>
  </si>
  <si>
    <t xml:space="preserve"> XI. Város-és községgazdálkodási egyéb szolgáltatás</t>
  </si>
  <si>
    <t>157.</t>
  </si>
  <si>
    <t>158.</t>
  </si>
  <si>
    <t>Útfelújítások (Soroksári út-Alsó-Duna u., Jedlik Á. u.-Knézich u., Némedi út-Andrássy Gy. u. között)</t>
  </si>
  <si>
    <t>159.</t>
  </si>
  <si>
    <t>Paradicsom-szigeti utcák felújítása</t>
  </si>
  <si>
    <t>160.</t>
  </si>
  <si>
    <t>154</t>
  </si>
  <si>
    <t>154                      Paál László u. útépítés          BELÜLI</t>
  </si>
  <si>
    <t>161.</t>
  </si>
  <si>
    <t>162.</t>
  </si>
  <si>
    <t>163.</t>
  </si>
  <si>
    <t>164.</t>
  </si>
  <si>
    <t>165.</t>
  </si>
  <si>
    <t>166.</t>
  </si>
  <si>
    <t>167.</t>
  </si>
  <si>
    <t>168.</t>
  </si>
  <si>
    <t>Paál László u. útépítés BELÜLI</t>
  </si>
  <si>
    <t>Kőrösi Csoma Sándor Általános Iskola támogatása</t>
  </si>
  <si>
    <t>Zeneiskola támogatása</t>
  </si>
  <si>
    <t>II. Rákóczi Ferenc Általános Iskola támogatása</t>
  </si>
  <si>
    <t>084040</t>
  </si>
  <si>
    <t>56/2022. (IV.25.) számú határozat alapján Civil szervezetek, egyházak támogatása tartalékból felosztott 15.000.000,- Ft</t>
  </si>
  <si>
    <t>I. Versenysport- és utánpótlás-nevelési tevékenység és támogatás</t>
  </si>
  <si>
    <t>Kisdunamenti Ashihara Karate és Szabadidős Sport Egyesület</t>
  </si>
  <si>
    <t>Dunaharaszti Venus Rúdsport Akadémia</t>
  </si>
  <si>
    <t>Dunaharaszti KEMPO SE</t>
  </si>
  <si>
    <t>Haraszti Ninják Taekwondo Sport Egyesület</t>
  </si>
  <si>
    <t>HardSteppers Tánc és Sport Egyesület</t>
  </si>
  <si>
    <t>Budapesti Tornádó Sportegyesület</t>
  </si>
  <si>
    <t>Dunaharaszti Judo Club</t>
  </si>
  <si>
    <t>MOHA SC (Morcos Harcosok Sport Club)</t>
  </si>
  <si>
    <t>II. Szabadidősport- (rekreációs sport-) tevékenység</t>
  </si>
  <si>
    <t>Fut a Haraszti (Dunaharaszti Futók)</t>
  </si>
  <si>
    <t>PET-RO Állatvédelmi Egyesület Dunaharaszti</t>
  </si>
  <si>
    <t>Terembura Szerepkör</t>
  </si>
  <si>
    <t>IV. Civil  szervezetek programtámogatása</t>
  </si>
  <si>
    <t>Dunaharaszti Nyugdíjasok Egyesülete</t>
  </si>
  <si>
    <t>Dunaharaszti Alsófalusi Nyugdíjas Klub</t>
  </si>
  <si>
    <t>Barátság Nyugdíjas Egyesület</t>
  </si>
  <si>
    <t>Dunamenti Összművészeti Egyesület</t>
  </si>
  <si>
    <t xml:space="preserve"> Dunaharaszti Nagycsaládos Egyesület</t>
  </si>
  <si>
    <t>Dunaharaszti Honismereti Kör</t>
  </si>
  <si>
    <t>Magyar Cserkészszövetség 647. sz. Tomori Pál Cserkészcsapat</t>
  </si>
  <si>
    <t>Dunaharaszti Ifjúsági Egyesület</t>
  </si>
  <si>
    <t>Napfény Tánccsoport</t>
  </si>
  <si>
    <t>Civilek Dunaharasztiért Egyesület</t>
  </si>
  <si>
    <t>Gazdakör Dunaharaszti</t>
  </si>
  <si>
    <t>Lányok, Asszonyok a Városért Egyesület (LAVE)</t>
  </si>
  <si>
    <t>Dunaharaszti Őszirózsa Nyugdíjas Egyesület</t>
  </si>
  <si>
    <t>Dunaharaszti Nádor Lakóövezetért Közhasznú Egyesület</t>
  </si>
  <si>
    <t>Dunaharaszti Gyermekbarátok Mozgalma Közhasznú Egyesület</t>
  </si>
  <si>
    <t>Petőfi-ligetért Baráti Kör</t>
  </si>
  <si>
    <t>Protego Europa Természetjáró és Környezetvédő Egyesület</t>
  </si>
  <si>
    <t>Dunaharaszti Környezetbarátok Egyesülete</t>
  </si>
  <si>
    <t>Mozaik Közhasznú Egyesület az Autizmussal Élő Emberekért</t>
  </si>
  <si>
    <t>Dunaharaszti Környezetvédelmi és Kulturális Egyesület</t>
  </si>
  <si>
    <t>Önkéntes Összefogás Dunaharaszti Egyesület (ÖNÖSZ Egyesület)</t>
  </si>
  <si>
    <t>Mozgáskorlátozottak Dunaharaszti Egyesülete</t>
  </si>
  <si>
    <t>Dunaharaszti Katonai Hagyományőrző Egyesület</t>
  </si>
  <si>
    <t>Alkotók Dunaharaszti Egyesülete</t>
  </si>
  <si>
    <t>Dunaharaszti Nőegylet</t>
  </si>
  <si>
    <t>Dunaharaszti Millenniumtelepért Egyesület</t>
  </si>
  <si>
    <t>V. Egyházak közösségi és hitéleti tevékenységének támogatása</t>
  </si>
  <si>
    <t>Dunaharaszti Baptista Gyülekezet</t>
  </si>
  <si>
    <t>Dunaharaszti Református Egyházközség</t>
  </si>
  <si>
    <t>Rákóczi-ligeti Római Katolikus Egyházközség</t>
  </si>
  <si>
    <t>TEÉRTED Baptista Gyülekezet</t>
  </si>
  <si>
    <t>Pesterzsébeti Görögkatolikus Egyház Dunaharaszti Csoportja</t>
  </si>
  <si>
    <t>Dunaharaszti Evangélikus Egyház</t>
  </si>
  <si>
    <t>Pénzeszköz átadás összesen:</t>
  </si>
  <si>
    <t>A10 Dunaharaszti Hagyományőrző Postagalambsport Civil Társaság</t>
  </si>
  <si>
    <t>084031                           Civil szervezetek működési támogatása</t>
  </si>
  <si>
    <t>217                                                   Időskorúak és rászoruló családok karácsonyi csomagja és rendezvényeik támogatása</t>
  </si>
  <si>
    <t>Időskorúak és rászoruló családok karácsonyi csomagja és rendezvényeik</t>
  </si>
  <si>
    <t>169.</t>
  </si>
  <si>
    <t>170.</t>
  </si>
  <si>
    <t>172.</t>
  </si>
  <si>
    <t>173.</t>
  </si>
  <si>
    <t>174.</t>
  </si>
  <si>
    <t>175.</t>
  </si>
  <si>
    <t>176.</t>
  </si>
  <si>
    <t>177.</t>
  </si>
  <si>
    <t>178.</t>
  </si>
  <si>
    <t>179.</t>
  </si>
  <si>
    <t>180.</t>
  </si>
  <si>
    <t>181.</t>
  </si>
  <si>
    <t>Dunaharaszti Város Önkormányzat Képviselő-testületének 39/2022. (III.28.) számú határozata: Ingatlanvásárlások e-MAG szervizút kialakításához</t>
  </si>
  <si>
    <t>182.</t>
  </si>
  <si>
    <t>183.</t>
  </si>
  <si>
    <t>Polgármesteri Hivatal B épületében ajtó beépítése</t>
  </si>
  <si>
    <t>Felhalmozási célú kölcsön nyújtása munkavállalóknak</t>
  </si>
  <si>
    <t>Solidus Idegennyelv-fejlesztő és Kulturális Egyesület</t>
  </si>
  <si>
    <t>Dunaharaszti Szent István Katolikus Főplébánia Szent Erzsébet Karitász Csoport</t>
  </si>
  <si>
    <t>Dunaharaszti Szent István Katolikus Főplébánia Szent Cecília Kórus</t>
  </si>
  <si>
    <t>Kiemelt közvilágítás létesítése újonnan épült gyalogosátkelőkhöz (előző évi maradvány: 1.073.150,- Ft)</t>
  </si>
  <si>
    <t>Közterület-felügyelet részére informatikai eszköz vásárlás</t>
  </si>
  <si>
    <t>Dunaharaszti Város Önkormányzat Képviselő-testületének 61/2022. (IV.25.) számú határozata: Mindszenty J. u. 16/b. címen található műfüves pálya felújítása</t>
  </si>
  <si>
    <t>184.</t>
  </si>
  <si>
    <t>Bezerédi Sportpark építése (támogatás: 329.992.608,- Ft, ebből fordított ÁFA 70.155.909,- Ft)</t>
  </si>
  <si>
    <t>Dunaharaszti Városi Bölcsőde Főintézményben vizesblokk felújítására kapott állami támogatás</t>
  </si>
  <si>
    <t>185.</t>
  </si>
  <si>
    <t>186.</t>
  </si>
  <si>
    <t>187.</t>
  </si>
  <si>
    <t>189.</t>
  </si>
  <si>
    <t>190.</t>
  </si>
  <si>
    <t>191.</t>
  </si>
  <si>
    <t>Kegyeleti parkba padok kihelyezése</t>
  </si>
  <si>
    <t>192.</t>
  </si>
  <si>
    <t>Napelemes menetrendtartók beszerzése (előző évi maradvány: 3.000.000,- Ft)</t>
  </si>
  <si>
    <t>Dunaharaszti Város Önkormányzat Képviselő-testületének 40/2022. (III.28.) számú határozata: 6182 hrsz. ingatlanvásárlás</t>
  </si>
  <si>
    <t>Dunaharaszti Város Önkormányzat Képviselő-testületének 13/2022. (II.1.) sz. Kt. határozata: MÁV-Alsó ingatlanvásárlások</t>
  </si>
  <si>
    <r>
      <t xml:space="preserve">91/2021. (XII.20.) sz. Kt. határozat: </t>
    </r>
    <r>
      <rPr>
        <b/>
        <sz val="10"/>
        <rFont val="Garamond"/>
        <family val="1"/>
        <charset val="238"/>
      </rPr>
      <t>KisDuna TV támogatása</t>
    </r>
  </si>
  <si>
    <t>193.</t>
  </si>
  <si>
    <t>194.</t>
  </si>
  <si>
    <t>195.</t>
  </si>
  <si>
    <t>196.</t>
  </si>
  <si>
    <t>197.</t>
  </si>
  <si>
    <t>198.</t>
  </si>
  <si>
    <t>199.</t>
  </si>
  <si>
    <t>200.</t>
  </si>
  <si>
    <t>B53</t>
  </si>
  <si>
    <t>Dolgozónak  mobiltelefon értékesítés</t>
  </si>
  <si>
    <t>B21</t>
  </si>
  <si>
    <t>202.</t>
  </si>
  <si>
    <t>203.</t>
  </si>
  <si>
    <t>204.</t>
  </si>
  <si>
    <t>205.</t>
  </si>
  <si>
    <t>206.</t>
  </si>
  <si>
    <t>207.</t>
  </si>
  <si>
    <t>208.</t>
  </si>
  <si>
    <t>209.</t>
  </si>
  <si>
    <t>210.</t>
  </si>
  <si>
    <t>211.</t>
  </si>
  <si>
    <t>212.</t>
  </si>
  <si>
    <t>213.</t>
  </si>
  <si>
    <t>214.</t>
  </si>
  <si>
    <t>Helyi tömegközlekedés támogatása (alapfeladat, iskolajárat, Tesco-járat, vonatpótló-járat)</t>
  </si>
  <si>
    <t>215.</t>
  </si>
  <si>
    <t>216.</t>
  </si>
  <si>
    <t>217.</t>
  </si>
  <si>
    <t>218.</t>
  </si>
  <si>
    <t>219.</t>
  </si>
  <si>
    <t>220.</t>
  </si>
  <si>
    <t>221.</t>
  </si>
  <si>
    <t>222.</t>
  </si>
  <si>
    <t>Klauzál u.-Szent István u. között burkolt árok építése</t>
  </si>
  <si>
    <t>223.</t>
  </si>
  <si>
    <t>093</t>
  </si>
  <si>
    <t>Városi Bölcsőde tagintézményben kukatároló, parkoló, kerítés és kapu építés</t>
  </si>
  <si>
    <t>224.</t>
  </si>
  <si>
    <t>225.</t>
  </si>
  <si>
    <t>226.</t>
  </si>
  <si>
    <t>227.</t>
  </si>
  <si>
    <t>228.</t>
  </si>
  <si>
    <t>229.</t>
  </si>
  <si>
    <t>230.</t>
  </si>
  <si>
    <t>231.</t>
  </si>
  <si>
    <t>232.</t>
  </si>
  <si>
    <t>233.</t>
  </si>
  <si>
    <t>234.</t>
  </si>
  <si>
    <t>235.</t>
  </si>
  <si>
    <t>Temetkezés illemhely kialakítás</t>
  </si>
  <si>
    <t>236.</t>
  </si>
  <si>
    <t>237.</t>
  </si>
  <si>
    <t>238.</t>
  </si>
  <si>
    <t>239.</t>
  </si>
  <si>
    <t>Szigetszentmiklós-Tököl SE támogatása</t>
  </si>
  <si>
    <t>240.</t>
  </si>
  <si>
    <t>241.</t>
  </si>
  <si>
    <t>242.</t>
  </si>
  <si>
    <t>151</t>
  </si>
  <si>
    <t>Városi Bölcsőde (Kossuth Lajos utcai) vizesblokk felújítás KÍVÜLI</t>
  </si>
  <si>
    <t>243.</t>
  </si>
  <si>
    <t>244.</t>
  </si>
  <si>
    <t>Bezerédi Sportpark megvilágítása</t>
  </si>
  <si>
    <t>245.</t>
  </si>
  <si>
    <t>246.</t>
  </si>
  <si>
    <t xml:space="preserve">14/2022. (V.25.) sz. OMS határozat: Equilor Team Újbuda SE támogatása </t>
  </si>
  <si>
    <t>62/2022. (IV.25.) sz. Kt. határozat: Universe-Strong Kft. támogatása (Piknik Parki Parádé "Tiszta Erős Emberek Nemzetközi Sportversenye")</t>
  </si>
  <si>
    <t>247.</t>
  </si>
  <si>
    <t>248.</t>
  </si>
  <si>
    <t>249.</t>
  </si>
  <si>
    <t>250.</t>
  </si>
  <si>
    <t>251.</t>
  </si>
  <si>
    <t>171.</t>
  </si>
  <si>
    <t>252.</t>
  </si>
  <si>
    <t>253.</t>
  </si>
  <si>
    <t>Városi Bölcsőde tagintézményében füvesítés és kerti vízellátás kiépítése</t>
  </si>
  <si>
    <t>Városi  Bölcsőde tagintézményében klímatelepítéshez elektromos áramkör bővítés</t>
  </si>
  <si>
    <t>254.</t>
  </si>
  <si>
    <t>255.</t>
  </si>
  <si>
    <t>Dunaharaszti Területi Gondozási Központ (Ifjúságegészségügy)</t>
  </si>
  <si>
    <t>Dolgozónak  laptop értékesítés</t>
  </si>
  <si>
    <t>Működési célú támogatások államháztartáson belülről</t>
  </si>
  <si>
    <t>107053 Jelzőrenderes házi segítségnyújtás</t>
  </si>
  <si>
    <t>Állami támogatás</t>
  </si>
  <si>
    <t>B16</t>
  </si>
  <si>
    <t>Kulturális bérfejlesztés 20 % (EMMI)</t>
  </si>
  <si>
    <t>Jelzőrendszeres házi segítségnyújtás támogatása</t>
  </si>
  <si>
    <t>Bursa ösztöndíj visszautalás</t>
  </si>
  <si>
    <t>Taksony Nagyközség Önkormányzata - Orvosi Ügyeleti Szolgálat hozzájárulás</t>
  </si>
  <si>
    <t>Jahn Ferenc Kórház támogatás visszafizetés</t>
  </si>
  <si>
    <t>Országgyűlési választás és népszavazás támogatása</t>
  </si>
  <si>
    <t>Dunaharaszti Német Nemzetiségi Önkormányzat támogatása</t>
  </si>
  <si>
    <t>NEAK támogatás: Család-és nővédelem egészségügyi gondozás</t>
  </si>
  <si>
    <t>NEAK támogatás: Ifjúság-egészségügyi gondozás</t>
  </si>
  <si>
    <t>256.</t>
  </si>
  <si>
    <t>257.</t>
  </si>
  <si>
    <r>
      <rPr>
        <strike/>
        <sz val="11"/>
        <color indexed="8"/>
        <rFont val="Garamond"/>
        <family val="1"/>
        <charset val="238"/>
      </rPr>
      <t xml:space="preserve">018010            Önkormányzatok elszámolásai a központi költségvetéssel </t>
    </r>
    <r>
      <rPr>
        <sz val="11"/>
        <color indexed="8"/>
        <rFont val="Garamond"/>
        <family val="1"/>
        <charset val="238"/>
      </rPr>
      <t xml:space="preserve">           066020                                 Város- és községgazdálkodási egyéb szolgáltatás</t>
    </r>
  </si>
  <si>
    <t>Energiaárak emelkedése miatti tartalék</t>
  </si>
  <si>
    <t>258.</t>
  </si>
  <si>
    <t>095</t>
  </si>
  <si>
    <t>B12</t>
  </si>
  <si>
    <t>12/2022. (V.31.) sz. Kt. rendelet alapján felosztott szabad maradvány</t>
  </si>
  <si>
    <t>József Attila Művelődési Ház 20%-os béremelésre kapott támogatása</t>
  </si>
  <si>
    <t>Dunaharaszti Városi Könyvtár 20%-os béremelésre kapott támogatása</t>
  </si>
  <si>
    <t>260.</t>
  </si>
  <si>
    <t>269.</t>
  </si>
  <si>
    <t>259.</t>
  </si>
  <si>
    <t>Szent István játszótér eszközfejlesztése</t>
  </si>
  <si>
    <t>261.</t>
  </si>
  <si>
    <t>Környezetvédelmi bírság, Településképi bírság</t>
  </si>
  <si>
    <t>Szivárvány Óvodában ajtó beépítés</t>
  </si>
  <si>
    <t>263.</t>
  </si>
  <si>
    <t>264.</t>
  </si>
  <si>
    <t>265.</t>
  </si>
  <si>
    <t>267.</t>
  </si>
  <si>
    <t>268.</t>
  </si>
  <si>
    <t>188.</t>
  </si>
  <si>
    <t>Knézich utcai és Szekér utcai játszótereken fogyasztásmérő kiépítés</t>
  </si>
  <si>
    <t>272.</t>
  </si>
  <si>
    <t>Autótechnika átalakítás (előző évi maradvány: 18.986.500,- Ft)</t>
  </si>
  <si>
    <t>273.</t>
  </si>
  <si>
    <t>274.</t>
  </si>
  <si>
    <t>275.</t>
  </si>
  <si>
    <t>Dunamenti Összművészeti Egyesület támogatása</t>
  </si>
  <si>
    <t>276.</t>
  </si>
  <si>
    <t>277.</t>
  </si>
  <si>
    <t>153</t>
  </si>
  <si>
    <t>Sport-sziget turizmusfejlesztése (TOP_PLUSZ-1.1.3-21 pályázat) kívüli</t>
  </si>
  <si>
    <t>Művelődési Ház melléképület hátsó falának felújítása</t>
  </si>
  <si>
    <t>279.</t>
  </si>
  <si>
    <t>Útépítések (Paál L. u.-Zágoni u., Paál L. u.-Homoktövis u. között) + tervek</t>
  </si>
  <si>
    <t>281.</t>
  </si>
  <si>
    <t>282.</t>
  </si>
  <si>
    <t>283.</t>
  </si>
  <si>
    <t>284.</t>
  </si>
  <si>
    <t>Evezős utca csapadékvíz-elvezetés kiépítése</t>
  </si>
  <si>
    <t>201.</t>
  </si>
  <si>
    <t>285.</t>
  </si>
  <si>
    <t>286.</t>
  </si>
  <si>
    <t>287.</t>
  </si>
  <si>
    <t>288.</t>
  </si>
  <si>
    <t>289.</t>
  </si>
  <si>
    <t>290.</t>
  </si>
  <si>
    <t>Dunaharaszti Önkormányzat Képviselő-testületének 2/2022. (II.1.) sz. Kt. határozata: Bölcsőde (Kossuth Lajos utcai) vizesblokk felújítás BELÜLI (önerő: 4.690.164,- Ft, ebből dologi: 117.000,- Ft) (támogatás: 4.690.003,- Ft, ebből dologi: 117.000,- Ft)</t>
  </si>
  <si>
    <t>291.</t>
  </si>
  <si>
    <t>5283/1 és 5283/3 hrsz. között új támfal építése (előző évi maradvány: 200.000,- Ft)</t>
  </si>
  <si>
    <t>292.</t>
  </si>
  <si>
    <t>Költségvetési törvény szerinti számozás</t>
  </si>
  <si>
    <t>Ávr. 111. § a) szerinti önkormányzatot megillető 2021. évi pótlólagos támogatás</t>
  </si>
  <si>
    <t>293.</t>
  </si>
  <si>
    <t>294.</t>
  </si>
  <si>
    <t>295.</t>
  </si>
  <si>
    <t>Állatvédelmi bírság</t>
  </si>
  <si>
    <t>296.</t>
  </si>
  <si>
    <t>297.</t>
  </si>
  <si>
    <t>298.</t>
  </si>
  <si>
    <t>299.</t>
  </si>
  <si>
    <t>300.</t>
  </si>
  <si>
    <t>301.</t>
  </si>
  <si>
    <t>304.</t>
  </si>
  <si>
    <t>Mese Óvoda burkolatépítés</t>
  </si>
  <si>
    <t>305.</t>
  </si>
  <si>
    <t>306.</t>
  </si>
  <si>
    <t>A költségvetési szerveknél foglalkoztatottak 2021. évi áthúzódó és 2022. évi
kompenzációja</t>
  </si>
  <si>
    <t>307.</t>
  </si>
  <si>
    <t>308.</t>
  </si>
  <si>
    <t>309.</t>
  </si>
  <si>
    <t>310.</t>
  </si>
  <si>
    <t>311.</t>
  </si>
  <si>
    <t>312.</t>
  </si>
  <si>
    <t>313.</t>
  </si>
  <si>
    <t>314.</t>
  </si>
  <si>
    <t>315.</t>
  </si>
  <si>
    <t>316.</t>
  </si>
  <si>
    <t>319.</t>
  </si>
  <si>
    <t>320.</t>
  </si>
  <si>
    <t>321.</t>
  </si>
  <si>
    <t>322.</t>
  </si>
  <si>
    <t>Magyarország 2022. évi központi költségvetéséről szóló 2021. évi XC. törvény 1. melléklet IX. Helyi önkormányzatok támogatásai fejezet 4. pont: 2022. évi iparűzési adókedvezménnyel kapcsolatos önkormányzati támogatás</t>
  </si>
  <si>
    <t>323.</t>
  </si>
  <si>
    <t>1. számú melléklet IX. Helyi önkormányzatok támogatásai</t>
  </si>
  <si>
    <t xml:space="preserve">2022. évi iparűzési adókedvezménnyel kapcsolatos önkormányzati támogatás </t>
  </si>
  <si>
    <t>1. számú melléklet összesen</t>
  </si>
  <si>
    <t>B111 B112 B1131 B1132 B114 B115 B116</t>
  </si>
  <si>
    <t>Népszámlálás támogatása</t>
  </si>
  <si>
    <t>90/2022. (VI.27.) sz. Kt. határozat: DH-Főúti Projekt Kft. támogatása</t>
  </si>
  <si>
    <t>16/2022. (VI.20.) sz. OMS határozat: Petőfi-ligetért Baráti Kör támogatása</t>
  </si>
  <si>
    <t>K89</t>
  </si>
  <si>
    <t>K84</t>
  </si>
  <si>
    <t>K86</t>
  </si>
  <si>
    <t>Teljesítés</t>
  </si>
  <si>
    <t>045120   Út, autópálya építése</t>
  </si>
  <si>
    <t>052080  Szennyvíz-csatorna építése, fenntartása, üzemeltetése</t>
  </si>
  <si>
    <t>066020   Város- és községgazdálkodási egyéb szolgáltatás</t>
  </si>
  <si>
    <t>066020 Város- és községgazdálkodási egyéb szolgáltatás</t>
  </si>
  <si>
    <t>052080 Szennyvízcsatorna építése, fenntartása, üzemeltet.</t>
  </si>
  <si>
    <t>063080  Vízellátással kapcsolatos közmű építése, fenntart.</t>
  </si>
  <si>
    <t>013350 Az önkormányzati vagyonnal való gazdálkodással kapcsolatos feladatok</t>
  </si>
  <si>
    <t>064010 Közvilágítás</t>
  </si>
  <si>
    <t>045160 Közutak, hidak, alagutak üzemeltetése, fenntartása</t>
  </si>
  <si>
    <t>066020  Város-, községgazdálkodási egyéb szolgáltatások</t>
  </si>
  <si>
    <t>066020   Város-, községgazdálkodási egyéb szolgáltatások</t>
  </si>
  <si>
    <t>013350  Az önkormányzati vagyonnal való gazdálkodással kapcsolatos feladatok</t>
  </si>
  <si>
    <t>102031  Idősek nappali ellátása</t>
  </si>
  <si>
    <t>051040    Nem veszélyes hulladék kezelése, ártalmatlanítása</t>
  </si>
  <si>
    <t>011130   Önkormányzatok és önkormányzati hivatalok jogalkoltó és általános igazgatási tevékenysége</t>
  </si>
  <si>
    <t>045160  Közutak, hidak, alagutak üzemeltetése, fenntartása</t>
  </si>
  <si>
    <t>066020 Város-, községgazdálkodási egyéb szolgáltatások</t>
  </si>
  <si>
    <t>066010  Zöldterület-kezelés</t>
  </si>
  <si>
    <t>016080  Kiemelt állami és önkormányzati rendezvények</t>
  </si>
  <si>
    <t>066010   Zöldterület-kezelés</t>
  </si>
  <si>
    <t>051050  Veszélyes hulladék begyűjtése, szállítása, átrakása</t>
  </si>
  <si>
    <t>051020   Nem veszélyes (települési) hulladék összetevőinek válogatása, elkülönített begyűjtése, szállítása, átrakása</t>
  </si>
  <si>
    <t>051030    Nem veszélyes (települési) hulladék vegyes (ömlesztett) begyűjtése, szállítása, átrakása</t>
  </si>
  <si>
    <t>045160    Közutak, hidak, alagutak üzemeltetése, fenntartása</t>
  </si>
  <si>
    <t xml:space="preserve">052020   Szennyvíz gyűjtése, tisztítása, elhelyezése </t>
  </si>
  <si>
    <t>066020    Város-, községgazdálkodási egyéb szolgáltatások</t>
  </si>
  <si>
    <t>082064   Múzeumi közművelődési, közönségkap-csolati tevékenység</t>
  </si>
  <si>
    <t>081061  Szabadidős park, fürdő és strandszolgáltatás</t>
  </si>
  <si>
    <t>041160  Földmérés, térképészet</t>
  </si>
  <si>
    <t>047120  Piac üzemeltetése</t>
  </si>
  <si>
    <t>066020  Város-, község-gazdálkodási egyéb szolgáltatások</t>
  </si>
  <si>
    <t>031070  Baleset-megelőzés</t>
  </si>
  <si>
    <t>066020 Város-, község-gazdálkodási egyéb szolgáltatások</t>
  </si>
  <si>
    <t>066020  Város-, községgaz-dálkodási egyéb szolgáltatások</t>
  </si>
  <si>
    <t>031030 Közterület rendjének fenntartása</t>
  </si>
  <si>
    <t>013350   Az önkormányzati vagyonnal való gazdálkodással kapcsolatos feladatok</t>
  </si>
  <si>
    <t>013320      Köztemető-fenntartás és működtetés</t>
  </si>
  <si>
    <t>064010   Közvilágítás</t>
  </si>
  <si>
    <t>083030  Egyéb kiadói tevékenység</t>
  </si>
  <si>
    <t>086030   Nemzetközi kulturális együttműködés</t>
  </si>
  <si>
    <t>081030    Sportlétesítmények, edzőtáborok működtet.és fejl.</t>
  </si>
  <si>
    <t>081045  Szabadidősport- (rekreációs sport-) tevékenység és támogatása</t>
  </si>
  <si>
    <t>091140 Óvodai nevelés, ellátás működtetési feladatai</t>
  </si>
  <si>
    <t>082030  Művészeti tevékenységek (kivéve: színház)</t>
  </si>
  <si>
    <t>074011  Foglalkozás-egészségügyi alapellátások</t>
  </si>
  <si>
    <t>081061     Szabadidős park, fürdő és strandszolgáltatás</t>
  </si>
  <si>
    <t>052080   Szennyvízcsatorna építése, fenntartása, üzemeltet.                                                    063080  Vízellátással lapcsolatos közmű építése, fenntart.</t>
  </si>
  <si>
    <t>052080   Szennyvízcsatorna építése, fenntartása, üzemeltet.</t>
  </si>
  <si>
    <t xml:space="preserve"> 063080  Vízellátással kapcsolatos közmű építése, fenntart.</t>
  </si>
  <si>
    <t>074032  Ifjúság-egészségügyi gondozás</t>
  </si>
  <si>
    <t>074040 Fertőző megbetegedések megelőzése, járványügyi ellátás</t>
  </si>
  <si>
    <t>074051  Nem fertőző megbetegedések megelőzése</t>
  </si>
  <si>
    <t>072160   Betegszállítás, valamint orvosi rendelvényű halottszállítás</t>
  </si>
  <si>
    <t>102023  Időskorúak tartós bentlakásos ellátása</t>
  </si>
  <si>
    <t>072440  Mentés</t>
  </si>
  <si>
    <t>101221  Fogyatékossággal élők nappali ellátása</t>
  </si>
  <si>
    <t>091220 Köznevelési intézmények 1-4. évfolyamán tanulók nevelésével, oktatásával összefüggő működtetési feladatok</t>
  </si>
  <si>
    <t>092120 Köznevelési intézmények 5-8. évfolyamán tanulók nevelésével, oktatásával összefüggő működtetési feladatok</t>
  </si>
  <si>
    <t>092260 Gimnázium és szakközépiskola tanulóinak közismeret és szakmai elméleti oktatásával összefüggő működtetési feladatok</t>
  </si>
  <si>
    <t>098022  Pedagógiai szakszolgáltató tevékenység működtetési feladatai</t>
  </si>
  <si>
    <t>091250    Alapfokú Művészet-oktatással  összefüggő működtetési feladatok</t>
  </si>
  <si>
    <t>018030   Támogatási célú finanszírozási műveletek</t>
  </si>
  <si>
    <t>049010  Máshova nem sorolt gazdasági események</t>
  </si>
  <si>
    <t>072111   Háziorvosi alapellátás</t>
  </si>
  <si>
    <t>011130    Önkormányzatok és önkormányzati hivatalok jogalkoltó és általános igazgatási tevékenysége</t>
  </si>
  <si>
    <t>104031  Gyermekek bölcsődében és mini bölcsődében történő ellátása</t>
  </si>
  <si>
    <t>082091  Közművelődés- közösségi és társadalmi részvétel fejlesztése</t>
  </si>
  <si>
    <t>082044 Könyvtári szolgáltatások</t>
  </si>
  <si>
    <t>091140  Óvodai nevelés, ellátás működtetési feladatai</t>
  </si>
  <si>
    <t>018020   Központi költségvetési befizetések</t>
  </si>
  <si>
    <t>091220  Köznevelési intézmények 1-4. évfolyamán tanulók nevelésével, oktatásával összefüggő működtetési feladatok</t>
  </si>
  <si>
    <t>092120   Köznevelési intézmények 5-8. évfolyamán tanulók nevelésével, oktatásával összefüggő működtetési feladatok</t>
  </si>
  <si>
    <t>081061   Szabadidős park, fürdő és strandszolgáltatás</t>
  </si>
  <si>
    <t>052080   Szennyvíz-csatorna építése, fenntartása, üzemeltetése</t>
  </si>
  <si>
    <t>072111 Háziorvosi alapellátás</t>
  </si>
  <si>
    <t>072111    Háziorvosi alapellátás</t>
  </si>
  <si>
    <t>045120 Út, autópálya építése</t>
  </si>
  <si>
    <t>045120  Út, autópálya építése</t>
  </si>
  <si>
    <t>091140   Óvodai nevelés, ellátás működtetési feladatai</t>
  </si>
  <si>
    <t>104031   Gyermekek bölcsődében és mini bölcsődében történő ellátása</t>
  </si>
  <si>
    <t>104042     Család és gyermekjóléti szolgáltatások</t>
  </si>
  <si>
    <t>104042  Család és gyermekjóléti szolgáltatások</t>
  </si>
  <si>
    <t>001 2022. évi útépítések</t>
  </si>
  <si>
    <t>002   2022. évi csap.víz elvezetések</t>
  </si>
  <si>
    <t>003  Városgazdálkodási feladatok</t>
  </si>
  <si>
    <t>004  Városgazdálkodási feladatok</t>
  </si>
  <si>
    <t>005  Szennyvíz beruházások saját forrás</t>
  </si>
  <si>
    <t>006 Ivóvíz beruházások saját forrás</t>
  </si>
  <si>
    <t>007  Ingatlanfejlesztések (Ingatlan vásárlás)</t>
  </si>
  <si>
    <t>008  Közvilágítási  bővítések, átépítések (lakossági kérésre; új vezérlés kiépítése)</t>
  </si>
  <si>
    <t>009  Közúti káresemények térítése</t>
  </si>
  <si>
    <t>013 Tárgyi eszköz értékesítés (Ingatlanok is)</t>
  </si>
  <si>
    <t>014 Egyéb bevételek</t>
  </si>
  <si>
    <t>015   Egyéb adóbevételek</t>
  </si>
  <si>
    <t>017     Területi Gondozási Központ új helyének kialakítása</t>
  </si>
  <si>
    <t>018  Környezetvédelmi program felülvizsgálata</t>
  </si>
  <si>
    <t>019 Választott tisztségviselők (polgármester és képviselők)</t>
  </si>
  <si>
    <t>020  Önkormányzati igazgatás</t>
  </si>
  <si>
    <t>021  P+R parkolók fenntartása</t>
  </si>
  <si>
    <t>022   Utcanévtáblák, gyepmester, városi közkutak</t>
  </si>
  <si>
    <t>023  Intézményi zöldterület ad hoc feladatainak ellátása</t>
  </si>
  <si>
    <t>024  Városi településfejlesztési koncepció, településszerkezeti terv</t>
  </si>
  <si>
    <t>025  "Várossá válás" szeptemberi ünnepsége</t>
  </si>
  <si>
    <t>028 Fásítási program</t>
  </si>
  <si>
    <t>030  Zöldterület kezelés</t>
  </si>
  <si>
    <t>031  Külterületi szemét és veszélyes hulladék gyűjtése</t>
  </si>
  <si>
    <t>032  Szelektív hulladékgyűjtés és zöldhulladék gyűjtés</t>
  </si>
  <si>
    <t>033 Lomtalanítás és köztéri szemétgyűjtés</t>
  </si>
  <si>
    <t>034  Helyi közutak fenntartása, rendkívüli síkosság mentesítés</t>
  </si>
  <si>
    <t>035  Csapadékvíz-belvíz üzemeltetés; Kül- és belterületi nyílt ár- és belvízelvezető rendszer üzemeltetése;E-közműrendszer üzemeltetése</t>
  </si>
  <si>
    <t xml:space="preserve">036  Vagyongazd. Kiadások (Közbeszerzés kiadásai; vagyonbiztosítás; energetikai tanácsadás; GDPR megfelelés; DHRV Kft. Végelsz.bev.) </t>
  </si>
  <si>
    <r>
      <t xml:space="preserve">037 </t>
    </r>
    <r>
      <rPr>
        <sz val="12"/>
        <color indexed="17"/>
        <rFont val="Garamond"/>
        <family val="1"/>
        <charset val="238"/>
      </rPr>
      <t xml:space="preserve"> </t>
    </r>
    <r>
      <rPr>
        <sz val="12"/>
        <rFont val="Garamond"/>
        <family val="1"/>
        <charset val="238"/>
      </rPr>
      <t xml:space="preserve">Társulások tagdíjai, Alsófalusi Nyugdíjasklub, </t>
    </r>
    <r>
      <rPr>
        <sz val="12"/>
        <color indexed="8"/>
        <rFont val="Garamond"/>
        <family val="1"/>
        <charset val="238"/>
      </rPr>
      <t>Városi ösztöndíj</t>
    </r>
  </si>
  <si>
    <t>038 Dunaharaszti sajtókapcsolatai</t>
  </si>
  <si>
    <t>039 Játszóterek felülvizsgálata (Játszóterek eszközfejlesztése)</t>
  </si>
  <si>
    <t>040 Terület előkészítés, földmérés és eljárási díjak</t>
  </si>
  <si>
    <t>041 Piac üzemeltetés</t>
  </si>
  <si>
    <t>042  Közterület használat, Reklámtábla</t>
  </si>
  <si>
    <t>043 Lakihegy rádió</t>
  </si>
  <si>
    <t>044  Sport-szigeti napközis tábor</t>
  </si>
  <si>
    <t>045 Szünidei  veszélyforrások</t>
  </si>
  <si>
    <t>046  Kitüntetői díjak</t>
  </si>
  <si>
    <r>
      <t xml:space="preserve">049 </t>
    </r>
    <r>
      <rPr>
        <sz val="12"/>
        <color indexed="8"/>
        <rFont val="Garamond"/>
        <family val="1"/>
        <charset val="238"/>
      </rPr>
      <t>Közterületi feladatok, közterületi kamerák</t>
    </r>
  </si>
  <si>
    <t>050  Rendőrségi feladatok</t>
  </si>
  <si>
    <t>051  Nem lakáscélú önk.ing.</t>
  </si>
  <si>
    <t>052 Lakásgazdál-kodással kapcsolatos feladatok</t>
  </si>
  <si>
    <t xml:space="preserve">054 Temető fenntartás </t>
  </si>
  <si>
    <t>055  Temetkezés</t>
  </si>
  <si>
    <t>056   Közvilágítás; parkok díszvilágításának karbantartása; karácsonyi díszvilágítás felszerelése, karbantartása; Mért közvil.hálózat üzemeltetése;</t>
  </si>
  <si>
    <t>057  Dunaharaszti Hírek és információs kiadványok</t>
  </si>
  <si>
    <t>058  Kiemelt állami és önkormányzati rendezvények</t>
  </si>
  <si>
    <t>059   Nemzetközi kapcsolatok</t>
  </si>
  <si>
    <r>
      <t>060   Sportcsarnok működtetése</t>
    </r>
    <r>
      <rPr>
        <sz val="12"/>
        <color indexed="10"/>
        <rFont val="Garamond"/>
        <family val="1"/>
        <charset val="238"/>
      </rPr>
      <t/>
    </r>
  </si>
  <si>
    <t>061  Mobil jégpálya üzemeltetése</t>
  </si>
  <si>
    <t>062  Hétszínvirág Ó. Bérleti díj</t>
  </si>
  <si>
    <t>063 Művészeti Alkotótábor</t>
  </si>
  <si>
    <t>064   Városi munkavállalók munka-egészségügyi felülvizsgálata</t>
  </si>
  <si>
    <t xml:space="preserve">065  Park tervezése, szabadidős fejlesztések </t>
  </si>
  <si>
    <t>066  "D" típusú sportpark</t>
  </si>
  <si>
    <t>068 Közműfejlesztési hozzájárulás</t>
  </si>
  <si>
    <t>069 Szennyvíz bérleti díj felhasználás előző évekről (Szennyvíz)</t>
  </si>
  <si>
    <t>069  Szennyvíz bérleti díj felhasználás 2022. év (Szennyvíz)</t>
  </si>
  <si>
    <t>070  Szennyvíz bérleti díj felhasználás előző évekről (Ivóvíz)</t>
  </si>
  <si>
    <t>070  Szennyvíz bérleti díj felhasználás 2022. év                 (Ivóvíz)</t>
  </si>
  <si>
    <t>071 Óvodások hallásvizsgálata, szemészeti és orthopédiai vizsgálata, fogászati szűrése</t>
  </si>
  <si>
    <t>072  Rota vírus</t>
  </si>
  <si>
    <r>
      <t xml:space="preserve">073  </t>
    </r>
    <r>
      <rPr>
        <sz val="12"/>
        <color indexed="8"/>
        <rFont val="Garamond"/>
        <family val="1"/>
        <charset val="238"/>
      </rPr>
      <t xml:space="preserve"> </t>
    </r>
    <r>
      <rPr>
        <sz val="12"/>
        <rFont val="Garamond"/>
        <family val="1"/>
        <charset val="238"/>
      </rPr>
      <t>Tüdőszűrés</t>
    </r>
    <r>
      <rPr>
        <sz val="12"/>
        <color indexed="8"/>
        <rFont val="Garamond"/>
        <family val="1"/>
        <charset val="238"/>
      </rPr>
      <t xml:space="preserve">, </t>
    </r>
    <r>
      <rPr>
        <sz val="12"/>
        <rFont val="Garamond"/>
        <family val="1"/>
        <charset val="238"/>
      </rPr>
      <t>Férfi és női lakosság szűrőgizsgálatainak megszervezése</t>
    </r>
  </si>
  <si>
    <t>074  Betegszállítási szolgáltatások igénybevétele</t>
  </si>
  <si>
    <t>075  Átmeneti bentlakásos otthonban elhelyezés</t>
  </si>
  <si>
    <t>076 Mentési pont</t>
  </si>
  <si>
    <t>077   Fogyatékossággal élők nappali ellátása</t>
  </si>
  <si>
    <t>079   Köznevelési intézmények 1-4. évfolyamával kapcsolatos feladatok</t>
  </si>
  <si>
    <t>080  Köznevelési intézmények 5-8. évfolyamával kapcsolatos feladatok</t>
  </si>
  <si>
    <t>081  Gimnáziumi feladatok</t>
  </si>
  <si>
    <t>082   Pedagógiai szakszolgálati feladatok</t>
  </si>
  <si>
    <t>083 Alapfokú Művészet-oktatási feladatok</t>
  </si>
  <si>
    <t>085   Intézmény finanszírozás</t>
  </si>
  <si>
    <t>086  Konyhák fejlesztése</t>
  </si>
  <si>
    <t>087 Elektromos autó töltőállomás</t>
  </si>
  <si>
    <t>088  Anna-ház posta</t>
  </si>
  <si>
    <t>089 ÁFA bevallás bevétel és kiadás (telekeladások ÁFA befizetése)</t>
  </si>
  <si>
    <t>091 Orvosi Rendelő, Gyermekorvosi rendelő kiadásai</t>
  </si>
  <si>
    <t>092 Innovatív fejlesztések (E-városom, Haraszti kártya)</t>
  </si>
  <si>
    <t>093  Bölcsődei feladatok</t>
  </si>
  <si>
    <t>094  Művelődési házzal kapcsolatos feladatok</t>
  </si>
  <si>
    <t>095  Könyvtári feladatok</t>
  </si>
  <si>
    <t>096  Óvodai feladatok</t>
  </si>
  <si>
    <t>097 Kábítószer Egyeztető Fórum</t>
  </si>
  <si>
    <t>099  Szolidaritási hozzájárulás</t>
  </si>
  <si>
    <t>100  Koronavírus járvánnyal kapcsolatos kiadások</t>
  </si>
  <si>
    <t>111 Dunaharaszti Városi Bölcsőde új tagintézmény PM_BOLCSODEFEJLESZTES_2019/20 pályázaton      BELÜLI</t>
  </si>
  <si>
    <t>113  Új iskola 1-4. évfolyamával kapcsolatos feladatok</t>
  </si>
  <si>
    <t>114  Új iskola 5-8. évfolyamával kapcsolatos feladatok</t>
  </si>
  <si>
    <t>115 Új iskola Alapfokú Művészetoktatási feladatok</t>
  </si>
  <si>
    <t>116   Bezerédi Sportpark pályázaton belüli</t>
  </si>
  <si>
    <t>117 Bezerédi Sportpark pályázaton kívüli</t>
  </si>
  <si>
    <t>131  Tájház felújítása</t>
  </si>
  <si>
    <t>134  Fő út 35. Gyermekorvosi rendelő pályázat BELÜLI (előző évi maradvány: 330.331,- Ft)</t>
  </si>
  <si>
    <t>136 Fő út 35. Gyermekorvosi rendelő pályázat KÍVÜLI</t>
  </si>
  <si>
    <t>150 Bölcsőde (Kossuth Lajos utcai) vizesblokk felújítás              BELÜLI</t>
  </si>
  <si>
    <t>156 Család- és Gyermekjóléti Szolgálat új épülete BELÜLI</t>
  </si>
  <si>
    <t>157 Család- és Gyermekjóléti Szolgálat új épülete KÍVÜLI</t>
  </si>
  <si>
    <t>107060 Egyes szociális pénzbeli és természetbeni ellátások, támogatások</t>
  </si>
  <si>
    <t>107060   Egyes szociális pénzbeli és természetbeni ellátások, támogatások</t>
  </si>
  <si>
    <t>107060  Egyes szociális pénzbeli és természetbeni ellátások, támogatások</t>
  </si>
  <si>
    <t>066020  Város-és községgazdálkodási egyéb szolgáltatás            018030 Támogatási célú finanszírozási műveletek</t>
  </si>
  <si>
    <t>061030   Lakáshoz jutást segítő támogatások</t>
  </si>
  <si>
    <t>084040 Egyházak közösségi és hitéleti tevényekségének támogatása</t>
  </si>
  <si>
    <t>084031  Civil szervezetek működési támogatása</t>
  </si>
  <si>
    <t>084032  Civil szervezetek program-támogatása</t>
  </si>
  <si>
    <t>084040  Egyházak közösségi és hitéleti tevékenységének támogatása</t>
  </si>
  <si>
    <t>022010   Polgári honvédelem ágazati feladatai, a lakosság felkészítése</t>
  </si>
  <si>
    <t>066020  Város-és községgazdálkodási egyéb szolgáltatás</t>
  </si>
  <si>
    <t>045140 Városi és elővárosi közúti személy-szállítás</t>
  </si>
  <si>
    <t>018030 Támogatási célú finanszírozási műveletek</t>
  </si>
  <si>
    <t>083050  Televízió-műsor szolgáltatása és támogatása</t>
  </si>
  <si>
    <t>072112  Háziorvosi ügyeleti ellátás</t>
  </si>
  <si>
    <t>104060  A gyermekek, fiatalok és családok életminőségét javító programok</t>
  </si>
  <si>
    <t>018030  Támogatási célú finanszírozási műveletek</t>
  </si>
  <si>
    <t>900060  Forgatási és befektetési célú finanszírozási műveletek                                   018010  Önkormányzatok elszámolásai a központi költségvetéssel</t>
  </si>
  <si>
    <t xml:space="preserve">   203  Köztemetés</t>
  </si>
  <si>
    <t>204  Rendszeres települési támogatás gyógyszerköltségre</t>
  </si>
  <si>
    <t>205  Gyermekétkeztetési támogatás</t>
  </si>
  <si>
    <t xml:space="preserve">  206 Hátrányos helyzetű gyermekek üdültetése</t>
  </si>
  <si>
    <t>207  Krízishelyzet és egyéb szociális célú támogatás</t>
  </si>
  <si>
    <t xml:space="preserve">208  Szemétdíj átvállalása rászorultsági alapon </t>
  </si>
  <si>
    <t xml:space="preserve">210  Téli rezsicsökkentésben korábban nem részesültek" Tűzifa támogatása </t>
  </si>
  <si>
    <t>211  Gyógyászati segédeszköz támogatás</t>
  </si>
  <si>
    <t>212  Ételallergiában szenvedő gyerekek támogatása</t>
  </si>
  <si>
    <t>213  Ukrán menekültek megsegítése</t>
  </si>
  <si>
    <t xml:space="preserve">215 Rendszeres települési támogatás ápolás céljára </t>
  </si>
  <si>
    <t>217  Időskorúak és rászoruló családok karácsonyi csomagja és rendezvényeik támogatása</t>
  </si>
  <si>
    <r>
      <t xml:space="preserve">301 </t>
    </r>
    <r>
      <rPr>
        <sz val="12"/>
        <color indexed="8"/>
        <rFont val="Garamond"/>
        <family val="1"/>
        <charset val="238"/>
      </rPr>
      <t>Lakossági járdaépítés, Sz</t>
    </r>
    <r>
      <rPr>
        <sz val="12"/>
        <color indexed="8"/>
        <rFont val="Garamond"/>
        <family val="1"/>
        <charset val="238"/>
      </rPr>
      <t>igetszentmiklósi Tűzoltóság és Rendelő támogatása</t>
    </r>
  </si>
  <si>
    <t>302  Első lakáshoz jutók támogatása</t>
  </si>
  <si>
    <t xml:space="preserve">    304 DMTK támogatása</t>
  </si>
  <si>
    <t xml:space="preserve"> 305  DMTK támogatása</t>
  </si>
  <si>
    <t xml:space="preserve">    306  Civil szervezetek támogatása</t>
  </si>
  <si>
    <t xml:space="preserve">    306  Civil szervezetek támogatása </t>
  </si>
  <si>
    <t>307  Polgárőr Egyesület támogatása</t>
  </si>
  <si>
    <t>308  Működési támogatás: Pest Megyei Katasztrófa-védelmi Igazgatóság,</t>
  </si>
  <si>
    <t>309  Helyi tömegközlekedés támogatása és működtetése</t>
  </si>
  <si>
    <t xml:space="preserve">  310   Bursa Hungarica ösztöndíj</t>
  </si>
  <si>
    <t>311  Nemzetiségi Önkormányzatok támogatása</t>
  </si>
  <si>
    <t xml:space="preserve"> 312  KisDuna TV-től műsoridő vásárlás, támogatása</t>
  </si>
  <si>
    <t>313   Haraszti Fraxinus Kft.</t>
  </si>
  <si>
    <t>316  Hátrányos helyzetű gyermekek nyelvoktatása</t>
  </si>
  <si>
    <t>317 Szigetszentmiklósi Tankerület által fenntartott és üzemeltetett Dunaharaszti intézmények támogatása</t>
  </si>
  <si>
    <t>400 Hitel és kamattörlesztés és hitel felvétellel kapcsolatos egyéb költségek; Megelőlegezési hitel</t>
  </si>
  <si>
    <t xml:space="preserve">   500  Önkormányzati adók (Helyi adóbevételek)</t>
  </si>
  <si>
    <t xml:space="preserve"> 501  Állami támogatás</t>
  </si>
  <si>
    <t>502 Bizonytalan bevételek (előző évekről hozott hátralék)</t>
  </si>
  <si>
    <t>262.</t>
  </si>
  <si>
    <t>266.</t>
  </si>
  <si>
    <t>270.</t>
  </si>
  <si>
    <t>271.</t>
  </si>
  <si>
    <t>278.</t>
  </si>
  <si>
    <t>280.</t>
  </si>
  <si>
    <t>302.</t>
  </si>
  <si>
    <t>303.</t>
  </si>
  <si>
    <t>317.</t>
  </si>
  <si>
    <t>318.</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</si>
  <si>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</si>
  <si>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</si>
  <si>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</si>
  <si>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</si>
  <si>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</si>
  <si>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</si>
  <si>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</si>
  <si>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</si>
  <si>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</si>
  <si>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</si>
  <si>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</si>
  <si>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</si>
  <si>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</si>
  <si>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</si>
  <si>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</si>
  <si>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</si>
  <si>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</si>
  <si>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</si>
  <si>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</si>
  <si>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</si>
  <si>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</si>
  <si>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</si>
  <si>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</si>
  <si>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</si>
  <si>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</si>
  <si>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</si>
  <si>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</si>
  <si>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</si>
  <si>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</si>
  <si>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</si>
  <si>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</si>
  <si>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</si>
  <si>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</si>
  <si>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</si>
  <si>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</si>
  <si>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</si>
  <si>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</si>
  <si>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</si>
  <si>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</si>
  <si>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</si>
  <si>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</si>
  <si>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</si>
  <si>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</si>
  <si>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</si>
  <si>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</si>
  <si>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</si>
  <si>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</si>
  <si>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</si>
  <si>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</si>
  <si>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</si>
  <si>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</si>
  <si>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</si>
  <si>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</si>
  <si>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</si>
  <si>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</si>
  <si>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</si>
  <si>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</si>
  <si>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</si>
  <si>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</si>
  <si>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</si>
  <si>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</si>
  <si>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</si>
  <si>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</si>
  <si>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</si>
  <si>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</si>
  <si>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</si>
  <si>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</si>
  <si>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</si>
  <si>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</si>
  <si>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</si>
  <si>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</si>
  <si>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</si>
  <si>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</si>
  <si>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</si>
  <si>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</si>
  <si>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</si>
  <si>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</si>
  <si>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</si>
  <si>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</si>
  <si>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</si>
  <si>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</si>
  <si>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</si>
  <si>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</si>
  <si>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</si>
  <si>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</si>
  <si>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</si>
  <si>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</si>
  <si>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</si>
  <si>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</si>
  <si>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</si>
  <si>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</si>
  <si>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</si>
  <si>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</si>
  <si>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</si>
  <si>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</si>
  <si>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</si>
  <si>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</si>
  <si>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</si>
  <si>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</si>
  <si>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</si>
  <si>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</si>
  <si>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</si>
  <si>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</si>
  <si>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</si>
  <si>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</si>
  <si>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</si>
  <si>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</si>
  <si>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</si>
  <si>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</si>
  <si>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</si>
  <si>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</si>
  <si>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</si>
  <si>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</si>
  <si>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</si>
  <si>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</si>
  <si>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</si>
  <si>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</si>
  <si>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</si>
  <si>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</si>
  <si>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</si>
  <si>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</si>
  <si>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</si>
  <si>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</si>
  <si>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</si>
  <si>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</si>
  <si>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</si>
  <si>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</si>
  <si>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</si>
  <si>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</si>
  <si>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</si>
  <si>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</si>
  <si>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</si>
  <si>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</si>
  <si>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</si>
  <si>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</si>
  <si>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</si>
  <si>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</si>
  <si>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</si>
  <si>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</si>
  <si>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</si>
  <si>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</si>
  <si>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</si>
  <si>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</si>
  <si>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</si>
  <si>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</si>
  <si>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</si>
  <si>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</si>
  <si>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</si>
  <si>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</si>
  <si>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</si>
  <si>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</si>
  <si>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</si>
  <si>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</si>
  <si>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</si>
  <si>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</si>
  <si>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</si>
  <si>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Polgármesteri Hivatal 2022. év</t>
  </si>
  <si>
    <t>011130     Önkormányzatok és önkormányzati hivatalok jogalkoltó és általános igazgatási tevékenysége</t>
  </si>
  <si>
    <t>011220 Adó, vám és jövedéki igazgatás</t>
  </si>
  <si>
    <t>016010  Országgy.önkorm. és európai parl.képv.vál.kap.tev.</t>
  </si>
  <si>
    <t>016010   Országgy.önkorm. és európai parl.képv.vál.kap.tev.</t>
  </si>
  <si>
    <t>031030  Közterület rendjének fenntartása</t>
  </si>
  <si>
    <t>013210   Átfogó tervezési és statisztikai szolgáltatások</t>
  </si>
  <si>
    <t>016020 Országos és helyi népszavazással kapcsolatos tevékenységek</t>
  </si>
  <si>
    <t>011130  Önkormányzatok és önkormányzati hivatalok jogalkoltó és általános igazgatási tevékenysége</t>
  </si>
  <si>
    <t>001 Intézmény finanszírozás</t>
  </si>
  <si>
    <t>002    Polgármesteri Hivatal</t>
  </si>
  <si>
    <t>003  Adóügyi feladatok</t>
  </si>
  <si>
    <t>004 Anyakönyvi feladatok</t>
  </si>
  <si>
    <t>005  Önkormányzati választás</t>
  </si>
  <si>
    <t>006  Európai parlamenti képviselő választás</t>
  </si>
  <si>
    <t>007  Rendészet</t>
  </si>
  <si>
    <t>008  Előző évekről hozott hátralék</t>
  </si>
  <si>
    <t>011  Országgyűlési választás</t>
  </si>
  <si>
    <t>012  Népszavazás</t>
  </si>
  <si>
    <t>Hétszínvirág Óvoda 2022. év</t>
  </si>
  <si>
    <t xml:space="preserve">002 Hétszínvirág Óvoda      </t>
  </si>
  <si>
    <r>
      <rPr>
        <sz val="12"/>
        <color indexed="10"/>
        <rFont val="Garamond"/>
        <family val="1"/>
        <charset val="238"/>
      </rPr>
      <t xml:space="preserve">003 </t>
    </r>
    <r>
      <rPr>
        <sz val="12"/>
        <rFont val="Garamond"/>
        <family val="1"/>
        <charset val="238"/>
      </rPr>
      <t>Hétszínvirág Óvoda sajátos ….</t>
    </r>
  </si>
  <si>
    <t>004  Zöld Óvoda</t>
  </si>
  <si>
    <t>005 Támogatások elszámolása</t>
  </si>
  <si>
    <t>091110  Óvodai nevelés, ellátás szakmai feladatai</t>
  </si>
  <si>
    <t xml:space="preserve">091120 Sajátos nevelési igényű gyermekek óvodai nevelésének, ellátásának szakmai feladatai                     </t>
  </si>
  <si>
    <t>091110 Óvodai nevelés, ellátás szakmai feladatai</t>
  </si>
  <si>
    <t>006 Előző évekről hozott hátralék</t>
  </si>
  <si>
    <t>007  VIII/6734-2/2020/KOZNEVINT támogatás: tehetséggondozó verseny, környezettudatos nevelési program</t>
  </si>
  <si>
    <t>Mese Óvoda 2022. év</t>
  </si>
  <si>
    <t>091110   Óvodai nevelés, ellátás szakmai feladatai</t>
  </si>
  <si>
    <t xml:space="preserve">091120  Sajátos nevelési igényű gyermekek óvodai nevelésének, ellátásának szakmai feladatai                     </t>
  </si>
  <si>
    <t xml:space="preserve">002  Mese Óvoda      </t>
  </si>
  <si>
    <t>003 Napsugár Óvoda</t>
  </si>
  <si>
    <t>004 Mese Óvoda sajátos ….</t>
  </si>
  <si>
    <t>005  Előző évekről hozott hátralék</t>
  </si>
  <si>
    <t>006  Támogatások elszámolása</t>
  </si>
  <si>
    <t>002 Étkeztetés</t>
  </si>
  <si>
    <t>003 Gyermekek egyéb ellátása  (régi)</t>
  </si>
  <si>
    <t>004 Gyermekek egyéb ellátása  (új tagbölcsőde)</t>
  </si>
  <si>
    <t>104031 Gyermekek bölcsődében és mini bölcsődében történő ellátása</t>
  </si>
  <si>
    <t>005 Előző évekről hozott hátralék</t>
  </si>
  <si>
    <t>Városi Bölcsöde 2022. év</t>
  </si>
  <si>
    <t>Dunaharaszti Család- és Gyermekjóléti Szolgálat 2022. év</t>
  </si>
  <si>
    <t>104042 Család és gyermekjóléti szolgáltatások</t>
  </si>
  <si>
    <t>104012  Gyermekek átmeneti ellátása</t>
  </si>
  <si>
    <t>104060    A gyermekek, fiatalok és családok életminőségét javító programok</t>
  </si>
  <si>
    <t>104037  Intézményen kívüli gyermekétkeztetés</t>
  </si>
  <si>
    <t>001  Intézmény finanszírozás</t>
  </si>
  <si>
    <t>002  Gyermekjóléti szolgáltatás</t>
  </si>
  <si>
    <t>003  Gyermekek átmeneti otthona</t>
  </si>
  <si>
    <t>004   Hátrányos helyzetű gyermekek, fiatalok …</t>
  </si>
  <si>
    <t>005 Szünidei étkezés</t>
  </si>
  <si>
    <t>006  Nyári napközis tábor</t>
  </si>
  <si>
    <t>111   Továbbszámlázás bevétele és kiadása</t>
  </si>
  <si>
    <t>Dunaharaszti Területi Gondozási Központ 2022. év</t>
  </si>
  <si>
    <t xml:space="preserve">018030  Támogatási célú finanszírozási műveletek              </t>
  </si>
  <si>
    <t>102031 Idősek nappali ellátása</t>
  </si>
  <si>
    <t>107051  Szociális étkeztetés szociális konyhán</t>
  </si>
  <si>
    <t>107052 Házi segítségnyújtás</t>
  </si>
  <si>
    <t>002  Idősek nappali ellátása</t>
  </si>
  <si>
    <t>003  Szociális étkeztetés</t>
  </si>
  <si>
    <t>004  Házi segítségnyújtás</t>
  </si>
  <si>
    <t>005 Házi jelzőrendszer</t>
  </si>
  <si>
    <t>006   Damjanich u. 32.  Orvosi rendelő</t>
  </si>
  <si>
    <t>007   Fő út 35. Gyermekorvosi rendelő</t>
  </si>
  <si>
    <t>008    Egyéb járóbeteg</t>
  </si>
  <si>
    <t>009  Eü labor</t>
  </si>
  <si>
    <t>011  Család-és nővédelem egészségügyi gondozás</t>
  </si>
  <si>
    <t>012  Ifjúság-egészségügyi gondozás</t>
  </si>
  <si>
    <t>013 Óvodai intézményi étkeztetés</t>
  </si>
  <si>
    <t>014  Iskolai intézményi étkeztetés</t>
  </si>
  <si>
    <t>015 Gimnáziumi  intézményi étkeztetés</t>
  </si>
  <si>
    <t>016 Vendéglátás étkeztetés</t>
  </si>
  <si>
    <t>017   Előző évekről hozott hátralék</t>
  </si>
  <si>
    <t>018  Nyári napközi étkezés</t>
  </si>
  <si>
    <t>072210  Járóbetegek gyógyító szakellátása</t>
  </si>
  <si>
    <t>074031 Család-és nővédelem egészségügyi gondozás</t>
  </si>
  <si>
    <t>074032   Ifjúság-egészségügyi gondozás</t>
  </si>
  <si>
    <t>096025  Munkahelyi étkeztetés köznevelési intézményben</t>
  </si>
  <si>
    <t>900020  Önkormányzhati funkcióra nem sorolható bevételei államháztartáson kívülről</t>
  </si>
  <si>
    <t>082042  Könyvtári állomány gyarapítása, nyilvántartása</t>
  </si>
  <si>
    <t>082043 Könyvtári állomány feltárása, megőrzése, védelme</t>
  </si>
  <si>
    <t>082044   Könyvtári szolgáltatások</t>
  </si>
  <si>
    <t>002   Könyvtári állomány gyarapítása</t>
  </si>
  <si>
    <t>003  Könyvtári állomány feltárása, megőrzése</t>
  </si>
  <si>
    <t>004   Könyvtári szolgáltatások</t>
  </si>
  <si>
    <t>006 Előző évi hátralék</t>
  </si>
  <si>
    <t>007   Könyvtári elkülönített SZJA 1%-os számla</t>
  </si>
  <si>
    <t>Dunaharaszti Városi Könyvtár 2022. év</t>
  </si>
  <si>
    <t xml:space="preserve">002 Laffert-kúria </t>
  </si>
  <si>
    <t>003  Közművelődési tevékenység</t>
  </si>
  <si>
    <t>004 Helytörténeti emléktár</t>
  </si>
  <si>
    <t>005   Előző évekről hozott hátralék</t>
  </si>
  <si>
    <t>082091   Közművelődés- közösségi és társadalmi részvétel fejlesztése</t>
  </si>
  <si>
    <t>082063  Múzeumi kiállító tevékenység</t>
  </si>
  <si>
    <t>082091 Közművelődés- közösségi és társadalmi részvétel fejlesztése</t>
  </si>
  <si>
    <t xml:space="preserve">091120   Sajátos nevelési igényű gyermekek óvodai nevelésének, ellátásának szakmai feladatai                     </t>
  </si>
  <si>
    <t>002    Szivárvány Óvoda</t>
  </si>
  <si>
    <t>003 Százszorszép Óvoda</t>
  </si>
  <si>
    <t>004  Szivárvány Óvoda SNI</t>
  </si>
  <si>
    <t>005  Támogatások elszámolása</t>
  </si>
  <si>
    <t>006   VIII/6734-2/2020/KOZNEVINT támogatás: tehetséggondozó verseny, környezettudatos nevelési program</t>
  </si>
  <si>
    <t>111    Továbbszámlázás bevétele és kiadása</t>
  </si>
  <si>
    <t>066020 Város- és község-gazdálkodási egyéb szolgáltatások</t>
  </si>
  <si>
    <t>018030 Támogatás célú finanszírozási műveletek</t>
  </si>
  <si>
    <t>061030  Lakáshoz jutást segítő támogatások</t>
  </si>
  <si>
    <t>022010 Polgári honvédelem ágazati feladatai, a lakosság felkészítése</t>
  </si>
  <si>
    <t>084040 Egyházak közösségi és hitéleti tevékeny-ségének támogatása</t>
  </si>
  <si>
    <t>084031 Civil szervezetek működési támogatása</t>
  </si>
  <si>
    <t>K-6</t>
  </si>
  <si>
    <t>K-7</t>
  </si>
  <si>
    <t>072112 Háziorvosi ügyeleti ellátás</t>
  </si>
  <si>
    <t>013210  Átfogó tervezési és statisztikai szolgáltatások</t>
  </si>
  <si>
    <t>074031  Család-és nővédelem egészségügyi gondozás</t>
  </si>
  <si>
    <t>074032 Ifjúság-egészségügyi gondozás</t>
  </si>
  <si>
    <t>066020   Város- és község-gazdálkodási egyéb szolgáltatások</t>
  </si>
  <si>
    <t>011220   Adó, vám és jövedéki igazgatás</t>
  </si>
  <si>
    <t>köt</t>
  </si>
  <si>
    <t>államig</t>
  </si>
  <si>
    <t xml:space="preserve">köt </t>
  </si>
  <si>
    <t>önk</t>
  </si>
  <si>
    <r>
      <t>107060 Egyes szociális pénzbeli és természetbeni ellátások, támogatások</t>
    </r>
    <r>
      <rPr>
        <sz val="12"/>
        <color indexed="8"/>
        <rFont val="Garamond"/>
        <family val="1"/>
        <charset val="238"/>
      </rPr>
      <t xml:space="preserve">        018030 Támogatási célú finanszírozási műveletek </t>
    </r>
  </si>
  <si>
    <t>052080  Szennyvízcsatorna építése, fenntartása, üzemeltetése</t>
  </si>
  <si>
    <r>
      <rPr>
        <strike/>
        <sz val="10"/>
        <rFont val="Garamond"/>
        <family val="1"/>
        <charset val="238"/>
      </rPr>
      <t>107060   Egyes szociális pénzbeli és természetbeni ellátások, támogatások</t>
    </r>
    <r>
      <rPr>
        <sz val="10"/>
        <rFont val="Garamond"/>
        <family val="1"/>
        <charset val="238"/>
      </rPr>
      <t xml:space="preserve">  018030 Támogatási célú finanszírozási műveletek</t>
    </r>
  </si>
  <si>
    <t>B25</t>
  </si>
  <si>
    <t>Csontváry utcai játszótér villanyóra-szekrény kiépítés</t>
  </si>
  <si>
    <t>TOP-PLUSZ-1.2.1-21-PT1-2022-00013 Taksony kerékpárút támogatás</t>
  </si>
  <si>
    <r>
      <t xml:space="preserve">018010 Önkormányzatok elszámolásai a központi költségvetéssel         </t>
    </r>
    <r>
      <rPr>
        <sz val="9"/>
        <color theme="1"/>
        <rFont val="Garamond"/>
        <family val="1"/>
        <charset val="238"/>
      </rPr>
      <t>066020 Város- és községgazdálkodási egyéb szolgáltatások</t>
    </r>
  </si>
  <si>
    <t xml:space="preserve">József Attila Művelődési Ház  2022. év </t>
  </si>
  <si>
    <t>Dunaharaszti Szivárvány Óvoda 2022. év</t>
  </si>
  <si>
    <t>08106     Szabadidős park, fürdő és strandszolgáltatás</t>
  </si>
  <si>
    <t>Létszámkeret/ Tényleges átlagos statisztikai állományi létszám (fő)</t>
  </si>
  <si>
    <t xml:space="preserve">006  EMET NKA ("Ismeretterjesztő zenei oktatás sorozat" pályázat) támogatás </t>
  </si>
  <si>
    <t>100/2022. (VIII.23.) sz. Kt. határozat: Baktay Ervin Gimnázium Pro Almamater Alapítvány támogatása</t>
  </si>
  <si>
    <t>Danubia Lovasház Egyesület támogatása</t>
  </si>
  <si>
    <t>25/2022. (IX.22.) sz. OMS határozat: Dunaharaszti Nagycsaládos Egyesület támogatása</t>
  </si>
  <si>
    <t>Dunaharaszti Judo Club támogatása</t>
  </si>
  <si>
    <t xml:space="preserve">22/2022. (IX.22.) sz. OMS határozat: Szigetszentmiklósi Kick-Box Sportegyesület támogatása </t>
  </si>
  <si>
    <t>23/2022. (IX.22.) sz. OMS határozat: Bódis Formation Sportegyesület támogatása</t>
  </si>
  <si>
    <t>24/2022. (IX.22.) sz. OMS határozat: Budaörsi Labda Egylet támogatása</t>
  </si>
  <si>
    <t>Merlin Ház Képességfejlesztő és Tehetséggondozó Nonprofit Kft. támogatása</t>
  </si>
  <si>
    <t>308</t>
  </si>
  <si>
    <t>Burkolt árkok helyreállítása (Csendes u., Csengeri u., Homok u.)</t>
  </si>
  <si>
    <t>Polgármesteri Hivatal B épületében helyiségek felújítása</t>
  </si>
  <si>
    <t>Mese Óvoda hőközpont felújítás</t>
  </si>
  <si>
    <t>József Attila Művelődési Ház</t>
  </si>
  <si>
    <t>EMET NKA ("Ismeretterjesztő zenei oktatás sorozat") pályázat támogatás</t>
  </si>
  <si>
    <t>Csokonai utca csapadékvíz-elvezetés</t>
  </si>
  <si>
    <t>Szennyvíztisztító telep bővítés</t>
  </si>
  <si>
    <t>Kinizsi utcai víznyomócső-építés műszaki ellenőrzése</t>
  </si>
  <si>
    <t>Sport-szigeti teniszpálya napelem telepítés</t>
  </si>
  <si>
    <t>Levendula utcai ingatlanra kerítésépítés</t>
  </si>
  <si>
    <t>Baktay téren elektromos hálózat bővítése</t>
  </si>
  <si>
    <t>Kutyakennel beszerzés</t>
  </si>
  <si>
    <t>081060</t>
  </si>
  <si>
    <t>Szekér utcai játszótér napvitorla beszerzés</t>
  </si>
  <si>
    <t>Szekér utcai játszótér fém drótkötélpálya telepítés</t>
  </si>
  <si>
    <t>050</t>
  </si>
  <si>
    <t>Rendőrség eszközbeszerzés</t>
  </si>
  <si>
    <t>Temető fenntartás kamerarendszer bővítés</t>
  </si>
  <si>
    <t>Temetkezés kamerarendszer bővítés</t>
  </si>
  <si>
    <t>Sportcsarnok napelem és épületfelügyeleti rendszer kiépítés</t>
  </si>
  <si>
    <t>Sportcsarnok tűzlétrák gyártása és felszerelése</t>
  </si>
  <si>
    <t>Sportcsarnok szekrény gyártása</t>
  </si>
  <si>
    <t>065</t>
  </si>
  <si>
    <t>Sport-szigetre ping-pong asztal telepítés</t>
  </si>
  <si>
    <t>091</t>
  </si>
  <si>
    <t>Felnőtt orvosi rendelőben betegtájékoztató rendszer kiépítése</t>
  </si>
  <si>
    <t>Felnőtt orvosi rendelőben tapintható térkép beszerzés</t>
  </si>
  <si>
    <t>Bezerédi Sportpark játszótér eszközfejlesztés</t>
  </si>
  <si>
    <t>6182 hrsz Levendula utca 55/A ingatlan értékesítése</t>
  </si>
  <si>
    <t>Európai Uniós feladatok eredeti előirányzat   (140 részgazda)</t>
  </si>
  <si>
    <t>141</t>
  </si>
  <si>
    <t>Dunaharaszti-Taksony kerékpárút építés TOP_PLUSZ-1.2.1-21-PT1-2022-00013 pályázaton KÍVÜLI</t>
  </si>
  <si>
    <t>VI. Támogatási célú finanszírozási műveletek</t>
  </si>
  <si>
    <t>069  Szennyvíz közműfejlesztési hozzájárulás felhasználás 2022. év                                   (Szennyvíz)</t>
  </si>
  <si>
    <t>070  Szennyvíz közműfejlesztési hozzájárulás felhasználás 2022. év (Ivóvíz)</t>
  </si>
  <si>
    <t>112  Dunaharaszti Városi Bölcsőde új tagintézmény PM_BOLCSODEFEJLESZTES_2019/20 pályázaton      KÍVÜLI</t>
  </si>
  <si>
    <t>140  Dunaharaszti-Taksony kerékpárút építés BELÜLI (TOP_PLUSZ-1.2.1-21-PT1-2022-00013)</t>
  </si>
  <si>
    <t>154  Paál László u. útépítés                                                   BELÜLI</t>
  </si>
  <si>
    <t>153 Sport-sziget turizmusfejlesztése                                         KÍVÜLI</t>
  </si>
  <si>
    <t>152  Sport-sziget turizmusfejlesztése                                      BELÜLI</t>
  </si>
  <si>
    <t xml:space="preserve">151  Bölcsőde (Kossuth Lajos utcai) vizesblokk felújítás                                                                             KÍVÜLI       </t>
  </si>
  <si>
    <t>149 Parti sétány és tanösvény                                                      KÍVÜLI</t>
  </si>
  <si>
    <t>148 Parti sétány és tanösvény                                                       BELÜLI</t>
  </si>
  <si>
    <t>147 Szivárvány Óvoda bővítés                                                 KÍVÜLI</t>
  </si>
  <si>
    <t>146 Szivárvány Óvoda bővítés                                                 BELÜLI</t>
  </si>
  <si>
    <t>145  Autotechnika                                                                       KÍVÜLI</t>
  </si>
  <si>
    <t>144  Autotechnika                                                                       BELÜLI</t>
  </si>
  <si>
    <t>141 Dunaharaszti-Taksony kerékpárút építés                        KÍVÜLI</t>
  </si>
  <si>
    <t>126  A3 mederburkolás pályázaton                                          BELÜLI</t>
  </si>
  <si>
    <t>202 Települési támogatás</t>
  </si>
  <si>
    <t>303  Egyházak eszközfejlesztésének támogatása    Dunaharaszti Kisharang Református Óvoda támogatása</t>
  </si>
  <si>
    <t>318  Magyar Labdarúgó Szövetség műfüves pálya felújítás támogatás</t>
  </si>
  <si>
    <t>480.</t>
  </si>
  <si>
    <t>481.</t>
  </si>
  <si>
    <t>482.</t>
  </si>
  <si>
    <t>483.</t>
  </si>
  <si>
    <t>484.</t>
  </si>
  <si>
    <t>485.</t>
  </si>
  <si>
    <t>486.</t>
  </si>
  <si>
    <t>487.</t>
  </si>
  <si>
    <t>488.</t>
  </si>
  <si>
    <t>072111  Háziorvosi alapellátás</t>
  </si>
  <si>
    <t>082094   Közművelődés-kulturális alapú gazdaságfejlesztés</t>
  </si>
  <si>
    <t>005   Kulturális bérfejlesztés támogatása 682/2021. (XII.6.) Korm. rend.</t>
  </si>
  <si>
    <t>007   Kulturális bérfejlesztés támogatása 682/2021. (XII.6.) Korm. rend.</t>
  </si>
  <si>
    <t>29/2022. (X.20.) sz. OMS határozat: II. Rákóczi Ferenc Általános Iskola támogatásának módosítása PC hangfalak beszerzésére</t>
  </si>
  <si>
    <t>61/2022. (IV.25.) sz. Kt. határozat: Magyar Labdarúgó Szövetség támogatása műfüves pálya felújítására</t>
  </si>
  <si>
    <t>35/2022. (XI.24.) sz. OMS határozat: Dunaharaszti Kisharang Református Óvoda támogatása JBL hangszórók beszerzésére</t>
  </si>
  <si>
    <t>Dunaharaszti Önkéntes Tűzoltó Egyesület támogatása</t>
  </si>
  <si>
    <t>Dunaharaszti Ifjúsági Egyesület támogatása</t>
  </si>
  <si>
    <t>Terembura Szerepkör támogatása</t>
  </si>
  <si>
    <t>30/2022. (X.20.) sz. OMS határozat: Chrobák Motorsport Egyesület támogatása</t>
  </si>
  <si>
    <t>XII. Egyházak közösségi és hitéleti tevékenységének támogatása</t>
  </si>
  <si>
    <t>303</t>
  </si>
  <si>
    <t>35/2022. (XI.24.) sz. OMS határozat: Dunaharaszti Kisharang Református Óvoda támogatása</t>
  </si>
  <si>
    <t>Gyalogjárda felújítások (Nádor u.-Földváry u.-Temető u.)</t>
  </si>
  <si>
    <t>Rendőrség kazáncsere</t>
  </si>
  <si>
    <t>Család- és Gyermekjóléti Szolgálat kazáncsere</t>
  </si>
  <si>
    <t>Polgármesteri Hivatal kazáncsere</t>
  </si>
  <si>
    <t>Laffert-kúria nyílászárók felújítása (üveg beszerzés is) (előző évi maradvány: 7.623.810,- Ft)</t>
  </si>
  <si>
    <t>Hétszínvirág Óvoda kazáncsere</t>
  </si>
  <si>
    <t>Magyarország 2021. évi központi költségvetéséről szóló 2020. évi XC. törvény 3. melléklet 6.3: huszonötezer főnél nem nagyobb lakosságszámú önkormányzatok kieső iparűzési adóbevétele miatti kiegészítő támogatás</t>
  </si>
  <si>
    <t>MÁV Zrt. részére értékesített ingatlan</t>
  </si>
  <si>
    <t>157/2022. (XI.28.) sz. Kt. határozat: 6039/61. hrsz. ingatlan értékesítése</t>
  </si>
  <si>
    <t>158/2022. (XI.28.) sz. Kt. határozat: 3766. hrsz. ingatlan értékesítése</t>
  </si>
  <si>
    <t>Dolgozóknak értékesített eszközök</t>
  </si>
  <si>
    <t>Területi Gondozási Központ</t>
  </si>
  <si>
    <t>Dolgozónak értékesített eszköz</t>
  </si>
  <si>
    <t>Magasságkorlátozó kapu telepítés a Bláthy Ottó utcába</t>
  </si>
  <si>
    <t>Felnőtt orvosi rendelőben napelemrendszer kiépítés</t>
  </si>
  <si>
    <t>József Attila Művelődési Házban napelemes új betápláló mérőhely kialakítása</t>
  </si>
  <si>
    <t>Mese Óvoda klímatelepítéshez, napelemhez, hőszivattyúhoz elektromos hálózatbővítés</t>
  </si>
  <si>
    <t>Hétszínvirág Óvoda klímatelepítéshez elektromos hálózatbővítés</t>
  </si>
  <si>
    <t>99/2021. (XII.20.) sz. Kt. határozat Dunaharaszti Városi Bölcsőde új tagintézmény PM_BOLCSODEFEJLESZTES_2019/20,  BELÜLI (2022. évi pályázati forrás 480.000.000,- Ft (ebből: 102.047.244,- Ft dologi), saját forrás 213.046.447,- Ft (ebből: 33.062.585,- Ft dologi))</t>
  </si>
  <si>
    <t xml:space="preserve">Bezerédi Sportpark (pályázaton kívüli) </t>
  </si>
  <si>
    <t>Parti sétány és tanösvény (belüli) (támogatás: 43.997.512,- Ft) (önerő: 4.999.996,- Ft)</t>
  </si>
  <si>
    <t>Rendezvényekre zászlók beszerzése</t>
  </si>
  <si>
    <t>Dunaharaszti-Taksony kerékpárút építése (előző évi maradvány: 781.050,- Ft) (TOP_PLUSZ-1.2.1-21-PT1-2022-00013 támogatás: 49.565.206,- Ft, ebből dologi: 8.146.942,- Ft)</t>
  </si>
  <si>
    <t>Domb u.-Csengeri u. közötti csapadékvíz-elvezetés</t>
  </si>
  <si>
    <t>Gravitációs csapadékvíz-elvezető rendszer kiépítése a Somogyváry-Bezerédi u. között</t>
  </si>
  <si>
    <t>Szennyvíz közműfejlesztési hozzájárulás felhasználás 2022. év (Ivóvíz)</t>
  </si>
  <si>
    <t>Területi Gondozási Központ szaletli átalakítás, gazdasági bejárat és kerítés kialakítás</t>
  </si>
  <si>
    <t>Dunaharaszti Város Önkormányzat Képviselő-testületének 129/2022. (X.24.) számú határozata: Dunaharaszti Területi Gondozási Központ bővítésére 2534/1 hrsz-ú ingatlanrész vásárlás</t>
  </si>
  <si>
    <t>Dunaharaszti Város Önkormányzat Képviselő-testületének 130/2022. (X.24.) számú határozata: Dunaharaszti Területi Gondozási Központ bővítésére 6793/10 hrsz-ú ingatlanrész vásárlás</t>
  </si>
  <si>
    <t>Százszorszép Óvoda előtti parkoló térburkolása (Táncsics M. u.)</t>
  </si>
  <si>
    <t>Szennyvíz közműfejlesztési hozzájárulás felhasználás 2022. év (Szennyvíz)</t>
  </si>
  <si>
    <t>Sportcsarnok elektromos szellőztetés és erősáramú csatlakozás kiépítése (előző évi maradvány:  2.509.520,- Ft)</t>
  </si>
  <si>
    <t>Üres álláshelyek 2022.12.31.</t>
  </si>
  <si>
    <t>Tényleges átlagos statisztikai állományi létszám (fő) 2022.12.31.</t>
  </si>
  <si>
    <t>fin</t>
  </si>
  <si>
    <t>Ebből: Európai Uniós feladatok eredeti előirányzat                                                              (140 részletezőkód)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</si>
</sst>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0\ &quot;Ft&quot;;\-#,##0\ &quot;Ft&quot;"/>
    <numFmt numFmtId="44" formatCode="_-* #,##0.00\ &quot;Ft&quot;_-;\-* #,##0.00\ &quot;Ft&quot;_-;_-* &quot;-&quot;??\ &quot;Ft&quot;_-;_-@_-"/>
    <numFmt numFmtId="164" formatCode="_-* #,##0.00\ _F_t_-;\-* #,##0.00\ _F_t_-;_-* &quot;-&quot;??\ _F_t_-;_-@_-"/>
    <numFmt numFmtId="165" formatCode="00"/>
    <numFmt numFmtId="166" formatCode="\ ##########"/>
    <numFmt numFmtId="167" formatCode="_-* #,##0\ _F_t_-;\-* #,##0\ _F_t_-;_-* \-??\ _F_t_-;_-@_-"/>
    <numFmt numFmtId="168" formatCode="_-* #,##0\ _F_t_-;\-* #,##0\ _F_t_-;_-* &quot;-&quot;??\ _F_t_-;_-@_-"/>
    <numFmt numFmtId="169" formatCode="_-* #,##0.0\ _F_t_-;\-* #,##0.0\ _F_t_-;_-* &quot;-&quot;??\ _F_t_-;_-@_-"/>
    <numFmt numFmtId="170" formatCode="#,##0\ &quot;Ft&quot;"/>
    <numFmt numFmtId="171" formatCode="_-* #,##0\ &quot;Ft&quot;_-;\-* #,##0\ &quot;Ft&quot;_-;_-* &quot;-&quot;??\ &quot;Ft&quot;_-;_-@_-"/>
    <numFmt numFmtId="172" formatCode="#,##0.00_ ;\-#,##0.00\ "/>
    <numFmt numFmtId="173" formatCode="#,##0.0_ ;\-#,##0.0\ "/>
    <numFmt numFmtId="174" formatCode="#,##0_ ;\-#,##0\ "/>
  </numFmts>
  <fonts count="81"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2"/>
      <name val="Arial CE"/>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CE"/>
      <charset val="238"/>
    </font>
    <font>
      <sz val="12"/>
      <color indexed="8"/>
      <name val="Garamond"/>
      <family val="1"/>
      <charset val="238"/>
    </font>
    <font>
      <b/>
      <sz val="12"/>
      <color indexed="8"/>
      <name val="Garamond"/>
      <family val="1"/>
      <charset val="238"/>
    </font>
    <font>
      <sz val="12"/>
      <name val="Garamond"/>
      <family val="1"/>
      <charset val="238"/>
    </font>
    <font>
      <b/>
      <sz val="12"/>
      <name val="Garamond"/>
      <family val="1"/>
      <charset val="238"/>
    </font>
    <font>
      <sz val="10"/>
      <name val="Garamond"/>
      <family val="1"/>
      <charset val="238"/>
    </font>
    <font>
      <b/>
      <sz val="10"/>
      <name val="Garamond"/>
      <family val="1"/>
      <charset val="238"/>
    </font>
    <font>
      <b/>
      <sz val="11"/>
      <name val="Garamond"/>
      <family val="1"/>
      <charset val="238"/>
    </font>
    <font>
      <sz val="11"/>
      <name val="Garamond"/>
      <family val="1"/>
      <charset val="238"/>
    </font>
    <font>
      <b/>
      <sz val="14"/>
      <name val="Garamond"/>
      <family val="1"/>
      <charset val="238"/>
    </font>
    <font>
      <b/>
      <i/>
      <sz val="12"/>
      <color indexed="8"/>
      <name val="Garamond"/>
      <family val="1"/>
      <charset val="238"/>
    </font>
    <font>
      <i/>
      <sz val="12"/>
      <color indexed="8"/>
      <name val="Garamond"/>
      <family val="1"/>
      <charset val="238"/>
    </font>
    <font>
      <b/>
      <i/>
      <sz val="12"/>
      <name val="Garamond"/>
      <family val="1"/>
      <charset val="238"/>
    </font>
    <font>
      <sz val="10"/>
      <name val="Arial"/>
      <family val="2"/>
      <charset val="238"/>
    </font>
    <font>
      <b/>
      <sz val="10"/>
      <name val="Arial"/>
      <family val="2"/>
      <charset val="238"/>
    </font>
    <font>
      <sz val="8"/>
      <color indexed="8"/>
      <name val="Arial"/>
      <family val="2"/>
      <charset val="238"/>
    </font>
    <font>
      <b/>
      <sz val="10"/>
      <name val="Arial"/>
      <family val="2"/>
      <charset val="238"/>
    </font>
    <font>
      <sz val="11"/>
      <color indexed="8"/>
      <name val="Garamond"/>
      <family val="1"/>
      <charset val="238"/>
    </font>
    <font>
      <b/>
      <sz val="11"/>
      <color indexed="8"/>
      <name val="Garamond"/>
      <family val="1"/>
      <charset val="238"/>
    </font>
    <font>
      <sz val="8"/>
      <name val="Arial CE"/>
      <charset val="238"/>
    </font>
    <font>
      <sz val="12"/>
      <name val="Arial CE"/>
      <charset val="238"/>
    </font>
    <font>
      <sz val="11"/>
      <color indexed="8"/>
      <name val="Calibri"/>
      <family val="2"/>
      <charset val="238"/>
    </font>
    <font>
      <sz val="12"/>
      <color indexed="53"/>
      <name val="Garamond"/>
      <family val="1"/>
      <charset val="238"/>
    </font>
    <font>
      <b/>
      <sz val="13"/>
      <name val="Garamond"/>
      <family val="1"/>
      <charset val="238"/>
    </font>
    <font>
      <b/>
      <sz val="10"/>
      <name val="Arial CE"/>
      <charset val="238"/>
    </font>
    <font>
      <sz val="12"/>
      <color indexed="17"/>
      <name val="Garamond"/>
      <family val="1"/>
      <charset val="238"/>
    </font>
    <font>
      <sz val="12"/>
      <color indexed="10"/>
      <name val="Garamond"/>
      <family val="1"/>
      <charset val="238"/>
    </font>
    <font>
      <sz val="10"/>
      <name val="Times New Roman CE"/>
      <charset val="238"/>
    </font>
    <font>
      <sz val="10"/>
      <color indexed="8"/>
      <name val="Garamond"/>
      <family val="1"/>
      <charset val="238"/>
    </font>
    <font>
      <b/>
      <sz val="14"/>
      <color indexed="8"/>
      <name val="Garamond"/>
      <family val="1"/>
      <charset val="238"/>
    </font>
    <font>
      <b/>
      <i/>
      <sz val="11"/>
      <color indexed="8"/>
      <name val="Garamond"/>
      <family val="1"/>
      <charset val="238"/>
    </font>
    <font>
      <i/>
      <sz val="11"/>
      <color indexed="8"/>
      <name val="Garamond"/>
      <family val="1"/>
      <charset val="238"/>
    </font>
    <font>
      <sz val="14"/>
      <color indexed="8"/>
      <name val="Garamond"/>
      <family val="1"/>
      <charset val="238"/>
    </font>
    <font>
      <sz val="14"/>
      <name val="Garamond"/>
      <family val="1"/>
      <charset val="238"/>
    </font>
    <font>
      <sz val="14"/>
      <name val="Arial CE"/>
      <charset val="238"/>
    </font>
    <font>
      <sz val="11"/>
      <color theme="1"/>
      <name val="Calibri"/>
      <family val="2"/>
      <charset val="238"/>
      <scheme val="minor"/>
    </font>
    <font>
      <sz val="11"/>
      <color theme="1"/>
      <name val="Calibri"/>
      <family val="2"/>
      <scheme val="minor"/>
    </font>
    <font>
      <b/>
      <sz val="10"/>
      <color theme="1"/>
      <name val="Garamond"/>
      <family val="1"/>
      <charset val="238"/>
    </font>
    <font>
      <sz val="10"/>
      <color theme="1"/>
      <name val="Garamond"/>
      <family val="1"/>
      <charset val="238"/>
    </font>
    <font>
      <b/>
      <sz val="14"/>
      <color rgb="FFFF0000"/>
      <name val="Garamond"/>
      <family val="1"/>
      <charset val="238"/>
    </font>
    <font>
      <b/>
      <sz val="12"/>
      <color theme="1"/>
      <name val="Garamond"/>
      <family val="1"/>
      <charset val="238"/>
    </font>
    <font>
      <sz val="11"/>
      <color theme="1"/>
      <name val="Garamond"/>
      <family val="1"/>
      <charset val="238"/>
    </font>
    <font>
      <sz val="14"/>
      <name val="Arial"/>
      <family val="2"/>
      <charset val="238"/>
    </font>
    <font>
      <b/>
      <i/>
      <sz val="14"/>
      <color indexed="8"/>
      <name val="Garamond"/>
      <family val="1"/>
      <charset val="238"/>
    </font>
    <font>
      <strike/>
      <sz val="11"/>
      <color indexed="8"/>
      <name val="Garamond"/>
      <family val="1"/>
      <charset val="238"/>
    </font>
    <font>
      <sz val="10"/>
      <color rgb="FFFF0000"/>
      <name val="Garamond"/>
      <family val="1"/>
      <charset val="238"/>
    </font>
    <font>
      <strike/>
      <sz val="12"/>
      <color indexed="8"/>
      <name val="Garamond"/>
      <family val="1"/>
      <charset val="238"/>
    </font>
    <font>
      <sz val="12"/>
      <color rgb="FFFF0000"/>
      <name val="Garamond"/>
      <family val="1"/>
      <charset val="238"/>
    </font>
    <font>
      <b/>
      <sz val="12"/>
      <color rgb="FFFF0000"/>
      <name val="Garamond"/>
      <family val="1"/>
      <charset val="238"/>
    </font>
    <font>
      <strike/>
      <sz val="10"/>
      <name val="Garamond"/>
      <family val="1"/>
      <charset val="238"/>
    </font>
    <font>
      <sz val="12"/>
      <color theme="1"/>
      <name val="Garamond"/>
      <family val="1"/>
      <charset val="238"/>
    </font>
    <font>
      <strike/>
      <sz val="9"/>
      <color theme="1"/>
      <name val="Garamond"/>
      <family val="1"/>
      <charset val="238"/>
    </font>
    <font>
      <sz val="9"/>
      <color theme="1"/>
      <name val="Garamond"/>
      <family val="1"/>
      <charset val="238"/>
    </font>
    <font>
      <sz val="16"/>
      <color rgb="FFFF0000"/>
      <name val="Garamond"/>
      <family val="1"/>
      <charset val="238"/>
    </font>
    <font>
      <sz val="16"/>
      <name val="Garamond"/>
      <family val="1"/>
      <charset val="238"/>
    </font>
    <font>
      <sz val="11"/>
      <name val="Arial"/>
      <family val="2"/>
      <charset val="23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
      <patternFill patternType="solid">
        <fgColor theme="3" tint="0.79998168889431442"/>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top/>
      <bottom/>
      <diagonal/>
    </border>
  </borders>
  <cellStyleXfs count="92">
    <xf numFmtId="0" fontId="0" fillId="0" borderId="0"/>
    <xf numFmtId="0" fontId="7" fillId="2" borderId="0" applyNumberFormat="0" applyBorder="0" applyAlignment="0" applyProtection="0"/>
    <xf numFmtId="0" fontId="4" fillId="2" borderId="0" applyNumberFormat="0" applyBorder="0" applyAlignment="0" applyProtection="0"/>
    <xf numFmtId="0" fontId="7" fillId="3" borderId="0" applyNumberFormat="0" applyBorder="0" applyAlignment="0" applyProtection="0"/>
    <xf numFmtId="0" fontId="4" fillId="3" borderId="0" applyNumberFormat="0" applyBorder="0" applyAlignment="0" applyProtection="0"/>
    <xf numFmtId="0" fontId="7"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4" fillId="5" borderId="0" applyNumberFormat="0" applyBorder="0" applyAlignment="0" applyProtection="0"/>
    <xf numFmtId="0" fontId="7" fillId="6" borderId="0" applyNumberFormat="0" applyBorder="0" applyAlignment="0" applyProtection="0"/>
    <xf numFmtId="0" fontId="4" fillId="6" borderId="0" applyNumberFormat="0" applyBorder="0" applyAlignment="0" applyProtection="0"/>
    <xf numFmtId="0" fontId="7" fillId="7" borderId="0" applyNumberFormat="0" applyBorder="0" applyAlignment="0" applyProtection="0"/>
    <xf numFmtId="0" fontId="4" fillId="7" borderId="0" applyNumberFormat="0" applyBorder="0" applyAlignment="0" applyProtection="0"/>
    <xf numFmtId="0" fontId="7" fillId="8" borderId="0" applyNumberFormat="0" applyBorder="0" applyAlignment="0" applyProtection="0"/>
    <xf numFmtId="0" fontId="4" fillId="8" borderId="0" applyNumberFormat="0" applyBorder="0" applyAlignment="0" applyProtection="0"/>
    <xf numFmtId="0" fontId="7" fillId="9" borderId="0" applyNumberFormat="0" applyBorder="0" applyAlignment="0" applyProtection="0"/>
    <xf numFmtId="0" fontId="4" fillId="9" borderId="0" applyNumberFormat="0" applyBorder="0" applyAlignment="0" applyProtection="0"/>
    <xf numFmtId="0" fontId="7" fillId="10" borderId="0" applyNumberFormat="0" applyBorder="0" applyAlignment="0" applyProtection="0"/>
    <xf numFmtId="0" fontId="4" fillId="10" borderId="0" applyNumberFormat="0" applyBorder="0" applyAlignment="0" applyProtection="0"/>
    <xf numFmtId="0" fontId="7" fillId="5" borderId="0" applyNumberFormat="0" applyBorder="0" applyAlignment="0" applyProtection="0"/>
    <xf numFmtId="0" fontId="4" fillId="5" borderId="0" applyNumberFormat="0" applyBorder="0" applyAlignment="0" applyProtection="0"/>
    <xf numFmtId="0" fontId="7" fillId="8" borderId="0" applyNumberFormat="0" applyBorder="0" applyAlignment="0" applyProtection="0"/>
    <xf numFmtId="0" fontId="4" fillId="8" borderId="0" applyNumberFormat="0" applyBorder="0" applyAlignment="0" applyProtection="0"/>
    <xf numFmtId="0" fontId="7" fillId="11" borderId="0" applyNumberFormat="0" applyBorder="0" applyAlignment="0" applyProtection="0"/>
    <xf numFmtId="0" fontId="4"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164" fontId="25"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7" fontId="6" fillId="0" borderId="0" applyFill="0" applyAlignment="0" applyProtection="0"/>
    <xf numFmtId="40"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8" fontId="6" fillId="0" borderId="0" applyFill="0" applyBorder="0" applyAlignment="0" applyProtection="0"/>
    <xf numFmtId="164" fontId="3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5" fillId="0" borderId="0" applyFon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3" borderId="0" applyNumberFormat="0" applyBorder="0" applyAlignment="0" applyProtection="0"/>
    <xf numFmtId="0" fontId="6" fillId="0" borderId="0"/>
    <xf numFmtId="0" fontId="5" fillId="0" borderId="0"/>
    <xf numFmtId="0" fontId="60" fillId="0" borderId="0"/>
    <xf numFmtId="0" fontId="25" fillId="0" borderId="0"/>
    <xf numFmtId="0" fontId="7" fillId="0" borderId="0"/>
    <xf numFmtId="0" fontId="60" fillId="0" borderId="0"/>
    <xf numFmtId="0" fontId="60" fillId="0" borderId="0"/>
    <xf numFmtId="0" fontId="60" fillId="0" borderId="0"/>
    <xf numFmtId="0" fontId="6" fillId="0" borderId="0"/>
    <xf numFmtId="0" fontId="25" fillId="0" borderId="0"/>
    <xf numFmtId="0" fontId="38" fillId="0" borderId="0"/>
    <xf numFmtId="0" fontId="5" fillId="0" borderId="0"/>
    <xf numFmtId="0" fontId="61" fillId="0" borderId="0"/>
    <xf numFmtId="0" fontId="52" fillId="0" borderId="0"/>
    <xf numFmtId="0" fontId="20" fillId="22" borderId="7" applyNumberFormat="0" applyFont="0" applyAlignment="0" applyProtection="0"/>
    <xf numFmtId="0" fontId="5" fillId="22" borderId="7" applyNumberFormat="0" applyFont="0" applyAlignment="0" applyProtection="0"/>
    <xf numFmtId="0" fontId="21" fillId="20" borderId="8" applyNumberFormat="0" applyAlignment="0" applyProtection="0"/>
    <xf numFmtId="44" fontId="25"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9" fontId="6" fillId="0" borderId="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3" fillId="0" borderId="0"/>
    <xf numFmtId="0" fontId="2" fillId="0" borderId="0"/>
    <xf numFmtId="9" fontId="25" fillId="0" borderId="0" applyFont="0" applyFill="0" applyBorder="0" applyAlignment="0" applyProtection="0"/>
  </cellStyleXfs>
  <cellXfs count="1317">
    <xf numFmtId="0" fontId="0" fillId="0" borderId="0" xfId="0"/>
    <xf numFmtId="166" fontId="27" fillId="24" borderId="10" xfId="0" applyNumberFormat="1" applyFont="1" applyFill="1" applyBorder="1" applyAlignment="1">
      <alignment vertical="center"/>
    </xf>
    <xf numFmtId="0" fontId="27" fillId="24" borderId="0" xfId="0" applyFont="1" applyFill="1"/>
    <xf numFmtId="0" fontId="28" fillId="24" borderId="0" xfId="0" applyFont="1" applyFill="1"/>
    <xf numFmtId="0" fontId="26" fillId="24" borderId="0" xfId="0" applyFont="1" applyFill="1"/>
    <xf numFmtId="165" fontId="26" fillId="24" borderId="0" xfId="0" applyNumberFormat="1" applyFont="1" applyFill="1"/>
    <xf numFmtId="168" fontId="26" fillId="24" borderId="10" xfId="41" applyNumberFormat="1" applyFont="1" applyFill="1" applyBorder="1"/>
    <xf numFmtId="168" fontId="27" fillId="24" borderId="10" xfId="41" applyNumberFormat="1" applyFont="1" applyFill="1" applyBorder="1"/>
    <xf numFmtId="0" fontId="30" fillId="0" borderId="0" xfId="0" applyFont="1"/>
    <xf numFmtId="0" fontId="31" fillId="0" borderId="0" xfId="0" applyFont="1"/>
    <xf numFmtId="0" fontId="29" fillId="0" borderId="0" xfId="0" applyFont="1"/>
    <xf numFmtId="0" fontId="30" fillId="0" borderId="12" xfId="0" applyFont="1" applyBorder="1" applyAlignment="1">
      <alignment horizontal="center" vertical="center"/>
    </xf>
    <xf numFmtId="168" fontId="26" fillId="24" borderId="0" xfId="0" applyNumberFormat="1" applyFont="1" applyFill="1"/>
    <xf numFmtId="168" fontId="30" fillId="0" borderId="0" xfId="0" applyNumberFormat="1" applyFont="1"/>
    <xf numFmtId="166" fontId="35" fillId="24" borderId="10" xfId="0" applyNumberFormat="1" applyFont="1" applyFill="1" applyBorder="1" applyAlignment="1">
      <alignment vertical="center"/>
    </xf>
    <xf numFmtId="0" fontId="35" fillId="24" borderId="0" xfId="0" applyFont="1" applyFill="1"/>
    <xf numFmtId="0" fontId="36" fillId="24" borderId="0" xfId="0" applyFont="1" applyFill="1"/>
    <xf numFmtId="168" fontId="26" fillId="24" borderId="0" xfId="41" applyNumberFormat="1" applyFont="1" applyFill="1" applyBorder="1"/>
    <xf numFmtId="0" fontId="30" fillId="24" borderId="0" xfId="0" applyFont="1" applyFill="1"/>
    <xf numFmtId="0" fontId="38" fillId="24" borderId="0" xfId="71" applyFill="1"/>
    <xf numFmtId="168" fontId="25" fillId="24" borderId="0" xfId="49" applyNumberFormat="1" applyFont="1" applyFill="1"/>
    <xf numFmtId="168" fontId="40" fillId="24" borderId="10" xfId="49" applyNumberFormat="1" applyFont="1" applyFill="1" applyBorder="1" applyAlignment="1">
      <alignment horizontal="center" vertical="center" wrapText="1"/>
    </xf>
    <xf numFmtId="0" fontId="27" fillId="24" borderId="10" xfId="71" applyFont="1" applyFill="1" applyBorder="1" applyAlignment="1">
      <alignment vertical="center" wrapText="1"/>
    </xf>
    <xf numFmtId="1" fontId="26" fillId="24" borderId="10" xfId="71" applyNumberFormat="1" applyFont="1" applyFill="1" applyBorder="1" applyAlignment="1">
      <alignment horizontal="center" vertical="center"/>
    </xf>
    <xf numFmtId="0" fontId="26" fillId="24" borderId="10" xfId="71" applyFont="1" applyFill="1" applyBorder="1" applyAlignment="1">
      <alignment horizontal="center" vertical="center"/>
    </xf>
    <xf numFmtId="165" fontId="27" fillId="24" borderId="10" xfId="71" quotePrefix="1" applyNumberFormat="1" applyFont="1" applyFill="1" applyBorder="1" applyAlignment="1">
      <alignment horizontal="center" vertical="center"/>
    </xf>
    <xf numFmtId="166" fontId="27" fillId="24" borderId="10" xfId="71" applyNumberFormat="1" applyFont="1" applyFill="1" applyBorder="1" applyAlignment="1">
      <alignment vertical="center"/>
    </xf>
    <xf numFmtId="0" fontId="27" fillId="24" borderId="10" xfId="71" applyFont="1" applyFill="1" applyBorder="1" applyAlignment="1">
      <alignment horizontal="left" vertical="center" wrapText="1"/>
    </xf>
    <xf numFmtId="0" fontId="29" fillId="24" borderId="10" xfId="71" applyFont="1" applyFill="1" applyBorder="1" applyAlignment="1">
      <alignment horizontal="left" vertical="center" wrapText="1"/>
    </xf>
    <xf numFmtId="0" fontId="37" fillId="24" borderId="10" xfId="71" applyFont="1" applyFill="1" applyBorder="1" applyAlignment="1">
      <alignment horizontal="left" vertical="center" wrapText="1"/>
    </xf>
    <xf numFmtId="166" fontId="35" fillId="24" borderId="10" xfId="71" applyNumberFormat="1" applyFont="1" applyFill="1" applyBorder="1" applyAlignment="1">
      <alignment vertical="center"/>
    </xf>
    <xf numFmtId="0" fontId="27" fillId="24" borderId="10" xfId="71" applyFont="1" applyFill="1" applyBorder="1" applyAlignment="1">
      <alignment horizontal="left" vertical="center"/>
    </xf>
    <xf numFmtId="0" fontId="35" fillId="24" borderId="10" xfId="71" applyFont="1" applyFill="1" applyBorder="1" applyAlignment="1">
      <alignment horizontal="left" vertical="center"/>
    </xf>
    <xf numFmtId="0" fontId="27" fillId="24" borderId="10" xfId="71" applyFont="1" applyFill="1" applyBorder="1" applyAlignment="1">
      <alignment horizontal="right" vertical="center"/>
    </xf>
    <xf numFmtId="0" fontId="41" fillId="24" borderId="0" xfId="71" applyFont="1" applyFill="1"/>
    <xf numFmtId="0" fontId="39" fillId="24" borderId="0" xfId="71" applyFont="1" applyFill="1"/>
    <xf numFmtId="0" fontId="26" fillId="24" borderId="0" xfId="0" applyFont="1" applyFill="1" applyAlignment="1">
      <alignment horizontal="right"/>
    </xf>
    <xf numFmtId="0" fontId="30" fillId="24" borderId="0" xfId="0" applyFont="1" applyFill="1" applyAlignment="1">
      <alignment horizontal="center"/>
    </xf>
    <xf numFmtId="0" fontId="31" fillId="24" borderId="0" xfId="0" applyFont="1" applyFill="1"/>
    <xf numFmtId="168" fontId="30" fillId="24" borderId="0" xfId="41" applyNumberFormat="1" applyFont="1" applyFill="1"/>
    <xf numFmtId="0" fontId="30" fillId="24" borderId="14" xfId="0" applyFont="1" applyFill="1" applyBorder="1" applyAlignment="1">
      <alignment horizontal="center" vertical="center"/>
    </xf>
    <xf numFmtId="168" fontId="31" fillId="24" borderId="18" xfId="41" applyNumberFormat="1" applyFont="1" applyFill="1" applyBorder="1" applyAlignment="1">
      <alignment horizontal="center" vertical="center" wrapText="1"/>
    </xf>
    <xf numFmtId="168" fontId="31" fillId="24" borderId="19" xfId="41" applyNumberFormat="1" applyFont="1" applyFill="1" applyBorder="1" applyAlignment="1">
      <alignment horizontal="center" vertical="center" wrapText="1"/>
    </xf>
    <xf numFmtId="0" fontId="30" fillId="24" borderId="20" xfId="0" applyFont="1" applyFill="1" applyBorder="1" applyAlignment="1">
      <alignment horizontal="center" vertical="center"/>
    </xf>
    <xf numFmtId="0" fontId="30" fillId="24" borderId="21" xfId="0" applyFont="1" applyFill="1" applyBorder="1" applyAlignment="1">
      <alignment horizontal="center" vertical="center"/>
    </xf>
    <xf numFmtId="0" fontId="33" fillId="24" borderId="0" xfId="0" applyFont="1" applyFill="1"/>
    <xf numFmtId="0" fontId="27" fillId="24" borderId="10" xfId="0" applyFont="1" applyFill="1" applyBorder="1" applyAlignment="1">
      <alignment horizontal="right" vertical="center"/>
    </xf>
    <xf numFmtId="168" fontId="30" fillId="24" borderId="0" xfId="0" applyNumberFormat="1" applyFont="1" applyFill="1"/>
    <xf numFmtId="0" fontId="30" fillId="24" borderId="23" xfId="0" applyFont="1" applyFill="1" applyBorder="1"/>
    <xf numFmtId="168" fontId="30" fillId="24" borderId="23" xfId="41" applyNumberFormat="1" applyFont="1" applyFill="1" applyBorder="1"/>
    <xf numFmtId="0" fontId="30" fillId="24" borderId="23" xfId="0" applyFont="1" applyFill="1" applyBorder="1" applyAlignment="1">
      <alignment horizontal="center"/>
    </xf>
    <xf numFmtId="0" fontId="30" fillId="24" borderId="24" xfId="0" applyFont="1" applyFill="1" applyBorder="1" applyAlignment="1">
      <alignment horizontal="center"/>
    </xf>
    <xf numFmtId="168" fontId="30" fillId="24" borderId="0" xfId="41" applyNumberFormat="1" applyFont="1" applyFill="1" applyBorder="1"/>
    <xf numFmtId="0" fontId="30" fillId="0" borderId="26" xfId="0" applyFont="1" applyBorder="1" applyAlignment="1">
      <alignment horizontal="center" vertical="center"/>
    </xf>
    <xf numFmtId="0" fontId="30" fillId="0" borderId="21" xfId="0" applyFont="1" applyBorder="1" applyAlignment="1">
      <alignment horizontal="center" vertical="center"/>
    </xf>
    <xf numFmtId="0" fontId="30" fillId="24" borderId="27" xfId="0" applyFont="1" applyFill="1" applyBorder="1" applyAlignment="1">
      <alignment horizontal="center"/>
    </xf>
    <xf numFmtId="0" fontId="30" fillId="24" borderId="0" xfId="0" applyFont="1" applyFill="1" applyAlignment="1">
      <alignment horizontal="left" vertical="center" wrapText="1"/>
    </xf>
    <xf numFmtId="0" fontId="30" fillId="24" borderId="0" xfId="0" applyFont="1" applyFill="1" applyAlignment="1">
      <alignment horizontal="center" vertical="center" wrapText="1"/>
    </xf>
    <xf numFmtId="165" fontId="27" fillId="24" borderId="28" xfId="71" quotePrefix="1" applyNumberFormat="1" applyFont="1" applyFill="1" applyBorder="1" applyAlignment="1">
      <alignment horizontal="center" vertical="center"/>
    </xf>
    <xf numFmtId="0" fontId="30" fillId="24" borderId="29" xfId="0" applyFont="1" applyFill="1" applyBorder="1" applyAlignment="1">
      <alignment horizontal="center"/>
    </xf>
    <xf numFmtId="49" fontId="26" fillId="0" borderId="10" xfId="0" applyNumberFormat="1" applyFont="1" applyBorder="1" applyAlignment="1">
      <alignment horizontal="center" vertical="center" wrapText="1"/>
    </xf>
    <xf numFmtId="168" fontId="31" fillId="24" borderId="18" xfId="41" applyNumberFormat="1" applyFont="1" applyFill="1" applyBorder="1" applyAlignment="1">
      <alignment vertical="center"/>
    </xf>
    <xf numFmtId="168" fontId="30" fillId="24" borderId="20" xfId="41" applyNumberFormat="1" applyFont="1" applyFill="1" applyBorder="1" applyAlignment="1">
      <alignment horizontal="center" vertical="center"/>
    </xf>
    <xf numFmtId="168" fontId="30" fillId="0" borderId="34" xfId="41" applyNumberFormat="1" applyFont="1" applyFill="1" applyBorder="1" applyAlignment="1">
      <alignment horizontal="center" vertical="center"/>
    </xf>
    <xf numFmtId="0" fontId="30" fillId="24" borderId="26" xfId="0" applyFont="1" applyFill="1" applyBorder="1" applyAlignment="1">
      <alignment horizontal="center" vertical="center"/>
    </xf>
    <xf numFmtId="168" fontId="30" fillId="0" borderId="34" xfId="41" applyNumberFormat="1" applyFont="1" applyFill="1" applyBorder="1" applyAlignment="1">
      <alignment horizontal="center" vertical="center" wrapText="1"/>
    </xf>
    <xf numFmtId="0" fontId="30" fillId="24" borderId="34" xfId="0" applyFont="1" applyFill="1" applyBorder="1" applyAlignment="1">
      <alignment horizontal="center" vertical="center"/>
    </xf>
    <xf numFmtId="0" fontId="30" fillId="24" borderId="35" xfId="0" applyFont="1" applyFill="1" applyBorder="1" applyAlignment="1">
      <alignment horizontal="center" vertical="center"/>
    </xf>
    <xf numFmtId="0" fontId="30" fillId="24" borderId="11" xfId="0" applyFont="1" applyFill="1" applyBorder="1" applyAlignment="1">
      <alignment horizontal="center" vertical="center"/>
    </xf>
    <xf numFmtId="0" fontId="31" fillId="24" borderId="11" xfId="0" applyFont="1" applyFill="1" applyBorder="1" applyAlignment="1">
      <alignment horizontal="center" vertical="center" wrapText="1"/>
    </xf>
    <xf numFmtId="168" fontId="30" fillId="24" borderId="14" xfId="41" applyNumberFormat="1" applyFont="1" applyFill="1" applyBorder="1" applyAlignment="1">
      <alignment horizontal="center" vertical="center"/>
    </xf>
    <xf numFmtId="0" fontId="30" fillId="24" borderId="24" xfId="0" applyFont="1" applyFill="1" applyBorder="1"/>
    <xf numFmtId="0" fontId="30" fillId="0" borderId="20" xfId="0" applyFont="1" applyBorder="1" applyAlignment="1">
      <alignment vertical="center"/>
    </xf>
    <xf numFmtId="0" fontId="30" fillId="0" borderId="17" xfId="0" applyFont="1" applyBorder="1" applyAlignment="1">
      <alignment vertical="center"/>
    </xf>
    <xf numFmtId="0" fontId="30" fillId="0" borderId="14" xfId="0" applyFont="1" applyBorder="1" applyAlignment="1">
      <alignment vertical="center"/>
    </xf>
    <xf numFmtId="168" fontId="30" fillId="0" borderId="14" xfId="41" applyNumberFormat="1" applyFont="1" applyBorder="1" applyAlignment="1">
      <alignment vertical="center"/>
    </xf>
    <xf numFmtId="168" fontId="30" fillId="0" borderId="20" xfId="41" applyNumberFormat="1" applyFont="1" applyBorder="1" applyAlignment="1">
      <alignment vertical="center"/>
    </xf>
    <xf numFmtId="168" fontId="30" fillId="0" borderId="17" xfId="41" applyNumberFormat="1" applyFont="1" applyBorder="1" applyAlignment="1">
      <alignment vertical="center"/>
    </xf>
    <xf numFmtId="0" fontId="30" fillId="0" borderId="37" xfId="0" applyFont="1" applyBorder="1" applyAlignment="1">
      <alignment horizontal="center" vertical="center"/>
    </xf>
    <xf numFmtId="0" fontId="30" fillId="0" borderId="34" xfId="0" applyFont="1" applyBorder="1" applyAlignment="1">
      <alignment horizontal="center" vertical="center"/>
    </xf>
    <xf numFmtId="168" fontId="38" fillId="24" borderId="0" xfId="71" applyNumberFormat="1" applyFill="1"/>
    <xf numFmtId="168" fontId="39" fillId="24" borderId="0" xfId="71" applyNumberFormat="1" applyFont="1" applyFill="1"/>
    <xf numFmtId="0" fontId="30" fillId="24" borderId="0" xfId="0" applyFont="1" applyFill="1" applyAlignment="1">
      <alignment horizontal="center" vertical="center"/>
    </xf>
    <xf numFmtId="0" fontId="29" fillId="24" borderId="10" xfId="0" applyFont="1" applyFill="1" applyBorder="1" applyAlignment="1">
      <alignment horizontal="center" vertical="center"/>
    </xf>
    <xf numFmtId="0" fontId="27" fillId="24" borderId="10" xfId="0" applyFont="1" applyFill="1" applyBorder="1" applyAlignment="1">
      <alignment vertical="center" wrapText="1"/>
    </xf>
    <xf numFmtId="0" fontId="26" fillId="24" borderId="10" xfId="0" applyFont="1" applyFill="1" applyBorder="1" applyAlignment="1">
      <alignment horizontal="center" vertical="center"/>
    </xf>
    <xf numFmtId="0" fontId="27" fillId="24" borderId="10" xfId="0" applyFont="1" applyFill="1" applyBorder="1" applyAlignment="1">
      <alignment horizontal="left" vertical="center" wrapText="1"/>
    </xf>
    <xf numFmtId="0" fontId="29" fillId="24" borderId="10" xfId="0" applyFont="1" applyFill="1" applyBorder="1" applyAlignment="1">
      <alignment horizontal="left" vertical="center" wrapText="1"/>
    </xf>
    <xf numFmtId="0" fontId="37" fillId="24" borderId="10" xfId="0" applyFont="1" applyFill="1" applyBorder="1" applyAlignment="1">
      <alignment horizontal="left" vertical="center" wrapText="1"/>
    </xf>
    <xf numFmtId="0" fontId="27" fillId="24" borderId="10" xfId="0" applyFont="1" applyFill="1" applyBorder="1" applyAlignment="1">
      <alignment horizontal="left" vertical="center"/>
    </xf>
    <xf numFmtId="0" fontId="35" fillId="24" borderId="10" xfId="0" applyFont="1" applyFill="1" applyBorder="1" applyAlignment="1">
      <alignment horizontal="left" vertical="center"/>
    </xf>
    <xf numFmtId="168" fontId="31" fillId="0" borderId="19" xfId="41" applyNumberFormat="1" applyFont="1" applyFill="1" applyBorder="1" applyAlignment="1">
      <alignment horizontal="center" vertical="center"/>
    </xf>
    <xf numFmtId="168" fontId="31" fillId="24" borderId="10" xfId="0" applyNumberFormat="1" applyFont="1" applyFill="1" applyBorder="1" applyAlignment="1">
      <alignment vertical="center"/>
    </xf>
    <xf numFmtId="168" fontId="30" fillId="0" borderId="13" xfId="41" applyNumberFormat="1" applyFont="1" applyFill="1" applyBorder="1" applyAlignment="1">
      <alignment horizontal="center" vertical="center"/>
    </xf>
    <xf numFmtId="168" fontId="29" fillId="24" borderId="18" xfId="41" applyNumberFormat="1" applyFont="1" applyFill="1" applyBorder="1" applyAlignment="1">
      <alignment vertical="center"/>
    </xf>
    <xf numFmtId="0" fontId="28" fillId="24" borderId="18" xfId="0" applyFont="1" applyFill="1" applyBorder="1" applyAlignment="1">
      <alignment vertical="center"/>
    </xf>
    <xf numFmtId="0" fontId="28" fillId="24" borderId="19" xfId="0" applyFont="1" applyFill="1" applyBorder="1" applyAlignment="1">
      <alignment vertical="center"/>
    </xf>
    <xf numFmtId="0" fontId="30" fillId="24" borderId="0" xfId="0" applyFont="1" applyFill="1" applyAlignment="1">
      <alignment vertical="center"/>
    </xf>
    <xf numFmtId="168" fontId="30" fillId="24" borderId="0" xfId="41" applyNumberFormat="1" applyFont="1" applyFill="1" applyAlignment="1">
      <alignment vertical="center"/>
    </xf>
    <xf numFmtId="168" fontId="31" fillId="24" borderId="39" xfId="0" applyNumberFormat="1" applyFont="1" applyFill="1" applyBorder="1" applyAlignment="1">
      <alignment vertical="center"/>
    </xf>
    <xf numFmtId="0" fontId="31" fillId="24" borderId="39" xfId="0" applyFont="1" applyFill="1" applyBorder="1" applyAlignment="1">
      <alignment vertical="center"/>
    </xf>
    <xf numFmtId="0" fontId="31" fillId="24" borderId="40" xfId="0" applyFont="1" applyFill="1" applyBorder="1" applyAlignment="1">
      <alignment vertical="center"/>
    </xf>
    <xf numFmtId="168" fontId="31" fillId="24" borderId="23" xfId="0" applyNumberFormat="1" applyFont="1" applyFill="1" applyBorder="1" applyAlignment="1">
      <alignment vertical="center"/>
    </xf>
    <xf numFmtId="0" fontId="31" fillId="24" borderId="23" xfId="0" applyFont="1" applyFill="1" applyBorder="1" applyAlignment="1">
      <alignment vertical="center"/>
    </xf>
    <xf numFmtId="0" fontId="31" fillId="24" borderId="24" xfId="0" applyFont="1" applyFill="1" applyBorder="1" applyAlignment="1">
      <alignment vertical="center"/>
    </xf>
    <xf numFmtId="0" fontId="30" fillId="0" borderId="0" xfId="0" applyFont="1" applyAlignment="1">
      <alignment horizontal="right"/>
    </xf>
    <xf numFmtId="0" fontId="30" fillId="24" borderId="18" xfId="0" applyFont="1" applyFill="1" applyBorder="1" applyAlignment="1">
      <alignment horizontal="left" vertical="center" wrapText="1"/>
    </xf>
    <xf numFmtId="0" fontId="31" fillId="0" borderId="0" xfId="0" applyFont="1" applyAlignment="1">
      <alignment horizontal="center" vertical="center"/>
    </xf>
    <xf numFmtId="168" fontId="30" fillId="0" borderId="0" xfId="0" applyNumberFormat="1" applyFont="1" applyAlignment="1">
      <alignment horizontal="center" vertical="center"/>
    </xf>
    <xf numFmtId="168" fontId="31" fillId="0" borderId="0" xfId="0" applyNumberFormat="1" applyFont="1" applyAlignment="1">
      <alignment horizontal="center" vertical="center"/>
    </xf>
    <xf numFmtId="168" fontId="31" fillId="24" borderId="11" xfId="41" applyNumberFormat="1" applyFont="1" applyFill="1" applyBorder="1" applyAlignment="1">
      <alignment horizontal="center" vertical="center"/>
    </xf>
    <xf numFmtId="168" fontId="30" fillId="24" borderId="18" xfId="41" applyNumberFormat="1" applyFont="1" applyFill="1" applyBorder="1" applyAlignment="1">
      <alignment horizontal="center" vertical="center"/>
    </xf>
    <xf numFmtId="168" fontId="30" fillId="0" borderId="20" xfId="41" applyNumberFormat="1" applyFont="1" applyFill="1" applyBorder="1" applyAlignment="1">
      <alignment horizontal="center" vertical="center"/>
    </xf>
    <xf numFmtId="168" fontId="30" fillId="0" borderId="42" xfId="41" applyNumberFormat="1" applyFont="1" applyFill="1" applyBorder="1" applyAlignment="1">
      <alignment horizontal="center" vertical="center"/>
    </xf>
    <xf numFmtId="0" fontId="30" fillId="0" borderId="20" xfId="0" applyFont="1" applyBorder="1" applyAlignment="1">
      <alignment horizontal="center" vertical="center"/>
    </xf>
    <xf numFmtId="0" fontId="49" fillId="0" borderId="0" xfId="0" applyFont="1"/>
    <xf numFmtId="168" fontId="31" fillId="0" borderId="18" xfId="41" applyNumberFormat="1" applyFont="1" applyFill="1" applyBorder="1" applyAlignment="1">
      <alignment horizontal="center" vertical="center" wrapText="1"/>
    </xf>
    <xf numFmtId="168" fontId="30" fillId="0" borderId="19" xfId="41" applyNumberFormat="1" applyFont="1" applyFill="1" applyBorder="1" applyAlignment="1">
      <alignment horizontal="center" vertical="center" wrapText="1"/>
    </xf>
    <xf numFmtId="0" fontId="5" fillId="24" borderId="0" xfId="71" applyFont="1" applyFill="1"/>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2" fillId="0" borderId="0" xfId="0" applyFont="1"/>
    <xf numFmtId="0" fontId="43" fillId="0" borderId="0" xfId="0" applyFont="1"/>
    <xf numFmtId="168" fontId="31" fillId="24" borderId="18" xfId="0" applyNumberFormat="1" applyFont="1" applyFill="1" applyBorder="1" applyAlignment="1">
      <alignment vertical="center"/>
    </xf>
    <xf numFmtId="168" fontId="30" fillId="0" borderId="20" xfId="41" applyNumberFormat="1" applyFont="1" applyFill="1" applyBorder="1" applyAlignment="1">
      <alignment vertical="center"/>
    </xf>
    <xf numFmtId="0" fontId="38" fillId="24" borderId="0" xfId="71" applyFill="1" applyAlignment="1">
      <alignment vertical="center"/>
    </xf>
    <xf numFmtId="0" fontId="27" fillId="24" borderId="10" xfId="71" applyFont="1" applyFill="1" applyBorder="1" applyAlignment="1">
      <alignment horizontal="center" vertical="center" wrapText="1"/>
    </xf>
    <xf numFmtId="0" fontId="38" fillId="24" borderId="0" xfId="71" applyFill="1" applyAlignment="1">
      <alignment horizontal="left" vertical="center"/>
    </xf>
    <xf numFmtId="166" fontId="27" fillId="24" borderId="10" xfId="71" applyNumberFormat="1" applyFont="1" applyFill="1" applyBorder="1" applyAlignment="1">
      <alignment horizontal="left" vertical="center"/>
    </xf>
    <xf numFmtId="166" fontId="35" fillId="24" borderId="10" xfId="71" applyNumberFormat="1" applyFont="1" applyFill="1" applyBorder="1" applyAlignment="1">
      <alignment horizontal="left" vertical="center"/>
    </xf>
    <xf numFmtId="0" fontId="30" fillId="0" borderId="43" xfId="0" applyFont="1" applyBorder="1" applyAlignment="1">
      <alignment horizontal="center" vertical="center"/>
    </xf>
    <xf numFmtId="0" fontId="30" fillId="0" borderId="13" xfId="0" applyFont="1" applyBorder="1" applyAlignment="1">
      <alignment horizontal="center" vertical="center"/>
    </xf>
    <xf numFmtId="0" fontId="30" fillId="0" borderId="20" xfId="0" quotePrefix="1" applyFont="1" applyBorder="1" applyAlignment="1">
      <alignment horizontal="center" vertical="center"/>
    </xf>
    <xf numFmtId="0" fontId="30" fillId="0" borderId="45" xfId="0" applyFont="1" applyBorder="1" applyAlignment="1">
      <alignment horizontal="center" vertical="center"/>
    </xf>
    <xf numFmtId="0" fontId="30" fillId="0" borderId="46" xfId="0" quotePrefix="1" applyFont="1" applyBorder="1" applyAlignment="1">
      <alignment horizontal="center" vertical="center"/>
    </xf>
    <xf numFmtId="0" fontId="30" fillId="0" borderId="46" xfId="0" applyFont="1" applyBorder="1" applyAlignment="1">
      <alignment horizontal="center" vertical="center"/>
    </xf>
    <xf numFmtId="0" fontId="30" fillId="0" borderId="20" xfId="0" applyFont="1" applyBorder="1"/>
    <xf numFmtId="49" fontId="30" fillId="0" borderId="20" xfId="0" quotePrefix="1" applyNumberFormat="1" applyFont="1" applyBorder="1" applyAlignment="1">
      <alignment vertical="center"/>
    </xf>
    <xf numFmtId="0" fontId="30" fillId="0" borderId="48" xfId="0" applyFont="1" applyBorder="1" applyAlignment="1">
      <alignment horizontal="center" vertical="center"/>
    </xf>
    <xf numFmtId="0" fontId="30" fillId="0" borderId="17" xfId="0" quotePrefix="1" applyFont="1" applyBorder="1" applyAlignment="1">
      <alignment vertical="center"/>
    </xf>
    <xf numFmtId="0" fontId="30" fillId="0" borderId="17" xfId="0" applyFont="1" applyBorder="1"/>
    <xf numFmtId="168" fontId="30" fillId="0" borderId="17" xfId="41" applyNumberFormat="1" applyFont="1" applyFill="1" applyBorder="1" applyAlignment="1">
      <alignment vertical="center"/>
    </xf>
    <xf numFmtId="0" fontId="30" fillId="0" borderId="17" xfId="0" applyFont="1" applyBorder="1" applyAlignment="1">
      <alignment horizontal="left" vertical="center" wrapText="1"/>
    </xf>
    <xf numFmtId="168" fontId="30" fillId="0" borderId="17" xfId="41" applyNumberFormat="1" applyFont="1" applyFill="1" applyBorder="1" applyAlignment="1">
      <alignment horizontal="center" vertical="center"/>
    </xf>
    <xf numFmtId="0" fontId="30" fillId="0" borderId="17" xfId="0" applyFont="1" applyBorder="1" applyAlignment="1">
      <alignment horizontal="center" vertical="center"/>
    </xf>
    <xf numFmtId="0" fontId="30" fillId="0" borderId="20" xfId="0" applyFont="1" applyBorder="1" applyAlignment="1">
      <alignment horizontal="center" vertical="center" wrapText="1"/>
    </xf>
    <xf numFmtId="168" fontId="30" fillId="0" borderId="18" xfId="41" applyNumberFormat="1" applyFont="1" applyFill="1" applyBorder="1" applyAlignment="1">
      <alignment vertical="center"/>
    </xf>
    <xf numFmtId="0" fontId="30" fillId="0" borderId="14" xfId="0" quotePrefix="1" applyFont="1" applyBorder="1" applyAlignment="1">
      <alignment horizontal="center" vertical="center"/>
    </xf>
    <xf numFmtId="0" fontId="30" fillId="0" borderId="33" xfId="0" applyFont="1" applyBorder="1" applyAlignment="1">
      <alignment horizontal="center" vertical="center"/>
    </xf>
    <xf numFmtId="0" fontId="30" fillId="24" borderId="23" xfId="0" applyFont="1" applyFill="1" applyBorder="1" applyAlignment="1">
      <alignment vertical="center"/>
    </xf>
    <xf numFmtId="0" fontId="30" fillId="24" borderId="24" xfId="0" applyFont="1" applyFill="1" applyBorder="1" applyAlignment="1">
      <alignment horizontal="right" vertical="center"/>
    </xf>
    <xf numFmtId="49" fontId="42" fillId="0" borderId="10" xfId="0" applyNumberFormat="1" applyFont="1" applyBorder="1" applyAlignment="1">
      <alignment horizontal="center" vertical="center"/>
    </xf>
    <xf numFmtId="0" fontId="43" fillId="25" borderId="10" xfId="0" applyFont="1" applyFill="1" applyBorder="1" applyAlignment="1">
      <alignment vertical="center" wrapText="1"/>
    </xf>
    <xf numFmtId="49" fontId="43" fillId="25" borderId="10" xfId="0" applyNumberFormat="1" applyFont="1" applyFill="1" applyBorder="1" applyAlignment="1">
      <alignment vertical="center"/>
    </xf>
    <xf numFmtId="0" fontId="43" fillId="25" borderId="10" xfId="0" applyFont="1" applyFill="1" applyBorder="1" applyAlignment="1">
      <alignment horizontal="center" vertical="center"/>
    </xf>
    <xf numFmtId="0" fontId="42" fillId="0" borderId="10" xfId="0" applyFont="1" applyBorder="1" applyAlignment="1">
      <alignment vertical="center" wrapText="1"/>
    </xf>
    <xf numFmtId="0" fontId="42" fillId="0" borderId="10" xfId="0" applyFont="1" applyBorder="1" applyAlignment="1">
      <alignment horizontal="center" vertical="center"/>
    </xf>
    <xf numFmtId="49" fontId="42" fillId="0" borderId="10" xfId="0" quotePrefix="1" applyNumberFormat="1" applyFont="1" applyBorder="1" applyAlignment="1">
      <alignment horizontal="center" vertical="center"/>
    </xf>
    <xf numFmtId="49" fontId="42" fillId="25" borderId="10" xfId="0" applyNumberFormat="1" applyFont="1" applyFill="1" applyBorder="1" applyAlignment="1">
      <alignment horizontal="center" vertical="center"/>
    </xf>
    <xf numFmtId="49" fontId="43" fillId="25" borderId="10" xfId="0" applyNumberFormat="1" applyFont="1" applyFill="1" applyBorder="1" applyAlignment="1">
      <alignment horizontal="center" vertical="center"/>
    </xf>
    <xf numFmtId="0" fontId="49" fillId="0" borderId="10" xfId="0" applyFont="1" applyBorder="1" applyAlignment="1">
      <alignment horizontal="center" vertical="center"/>
    </xf>
    <xf numFmtId="0" fontId="30" fillId="0" borderId="18" xfId="0" applyFont="1" applyBorder="1"/>
    <xf numFmtId="168" fontId="30" fillId="0" borderId="12" xfId="41" applyNumberFormat="1" applyFont="1" applyFill="1" applyBorder="1" applyAlignment="1">
      <alignment horizontal="center" vertical="center"/>
    </xf>
    <xf numFmtId="0" fontId="28" fillId="24" borderId="0" xfId="71" applyFont="1" applyFill="1"/>
    <xf numFmtId="0" fontId="28" fillId="24" borderId="0" xfId="71" applyFont="1" applyFill="1" applyAlignment="1">
      <alignment horizontal="left" vertical="center"/>
    </xf>
    <xf numFmtId="168" fontId="28" fillId="24" borderId="0" xfId="49" applyNumberFormat="1" applyFont="1" applyFill="1"/>
    <xf numFmtId="168" fontId="28" fillId="24" borderId="0" xfId="49" applyNumberFormat="1" applyFont="1" applyFill="1" applyAlignment="1">
      <alignment horizontal="right"/>
    </xf>
    <xf numFmtId="168" fontId="28" fillId="24" borderId="10" xfId="49" applyNumberFormat="1" applyFont="1" applyFill="1" applyBorder="1"/>
    <xf numFmtId="168" fontId="29" fillId="24" borderId="10" xfId="49" applyNumberFormat="1" applyFont="1" applyFill="1" applyBorder="1"/>
    <xf numFmtId="168" fontId="28" fillId="0" borderId="10" xfId="49" applyNumberFormat="1" applyFont="1" applyFill="1" applyBorder="1"/>
    <xf numFmtId="0" fontId="28" fillId="24" borderId="10" xfId="71" applyFont="1" applyFill="1" applyBorder="1" applyAlignment="1">
      <alignment horizontal="left" vertical="center"/>
    </xf>
    <xf numFmtId="0" fontId="28" fillId="24" borderId="10" xfId="71" applyFont="1" applyFill="1" applyBorder="1" applyAlignment="1">
      <alignment vertical="center"/>
    </xf>
    <xf numFmtId="0" fontId="28" fillId="24" borderId="10" xfId="71" applyFont="1" applyFill="1" applyBorder="1"/>
    <xf numFmtId="168" fontId="28" fillId="24" borderId="10" xfId="50" applyNumberFormat="1" applyFont="1" applyFill="1" applyBorder="1" applyAlignment="1">
      <alignment vertical="center"/>
    </xf>
    <xf numFmtId="0" fontId="5" fillId="24" borderId="10" xfId="72" applyFill="1" applyBorder="1" applyAlignment="1">
      <alignment vertical="center"/>
    </xf>
    <xf numFmtId="165" fontId="27" fillId="24" borderId="10" xfId="72" quotePrefix="1" applyNumberFormat="1" applyFont="1" applyFill="1" applyBorder="1" applyAlignment="1">
      <alignment horizontal="center" vertical="center"/>
    </xf>
    <xf numFmtId="168" fontId="29" fillId="24" borderId="10" xfId="50" applyNumberFormat="1" applyFont="1" applyFill="1" applyBorder="1" applyAlignment="1">
      <alignment vertical="center"/>
    </xf>
    <xf numFmtId="166" fontId="27" fillId="24" borderId="10" xfId="72" applyNumberFormat="1" applyFont="1" applyFill="1" applyBorder="1" applyAlignment="1">
      <alignment vertical="center"/>
    </xf>
    <xf numFmtId="0" fontId="27" fillId="24" borderId="10" xfId="72" applyFont="1" applyFill="1" applyBorder="1" applyAlignment="1">
      <alignment horizontal="right" vertical="center"/>
    </xf>
    <xf numFmtId="166" fontId="35" fillId="24" borderId="10" xfId="72" applyNumberFormat="1" applyFont="1" applyFill="1" applyBorder="1" applyAlignment="1">
      <alignment vertical="center"/>
    </xf>
    <xf numFmtId="0" fontId="35" fillId="24" borderId="10" xfId="72" applyFont="1" applyFill="1" applyBorder="1" applyAlignment="1">
      <alignment horizontal="left" vertical="center"/>
    </xf>
    <xf numFmtId="0" fontId="27" fillId="24" borderId="10" xfId="72" applyFont="1" applyFill="1" applyBorder="1" applyAlignment="1">
      <alignment horizontal="left" vertical="center"/>
    </xf>
    <xf numFmtId="0" fontId="29" fillId="24" borderId="10" xfId="72" applyFont="1" applyFill="1" applyBorder="1" applyAlignment="1">
      <alignment horizontal="left" vertical="center" wrapText="1"/>
    </xf>
    <xf numFmtId="0" fontId="27" fillId="24" borderId="10" xfId="72" applyFont="1" applyFill="1" applyBorder="1" applyAlignment="1">
      <alignment horizontal="left" vertical="center" wrapText="1"/>
    </xf>
    <xf numFmtId="0" fontId="37" fillId="24" borderId="10" xfId="72" applyFont="1" applyFill="1" applyBorder="1" applyAlignment="1">
      <alignment horizontal="left" vertical="center" wrapText="1"/>
    </xf>
    <xf numFmtId="0" fontId="27" fillId="24" borderId="10" xfId="72" applyFont="1" applyFill="1" applyBorder="1" applyAlignment="1">
      <alignment vertical="center" wrapText="1"/>
    </xf>
    <xf numFmtId="0" fontId="26" fillId="24" borderId="10" xfId="72" applyFont="1" applyFill="1" applyBorder="1" applyAlignment="1">
      <alignment horizontal="center" vertical="center"/>
    </xf>
    <xf numFmtId="1" fontId="26" fillId="24" borderId="10" xfId="72" applyNumberFormat="1" applyFont="1" applyFill="1" applyBorder="1" applyAlignment="1">
      <alignment horizontal="center" vertical="center"/>
    </xf>
    <xf numFmtId="0" fontId="27" fillId="24" borderId="10" xfId="72" applyFont="1" applyFill="1" applyBorder="1" applyAlignment="1">
      <alignment horizontal="center" vertical="center" wrapText="1"/>
    </xf>
    <xf numFmtId="168" fontId="28" fillId="24" borderId="10" xfId="50" applyNumberFormat="1" applyFont="1" applyFill="1" applyBorder="1"/>
    <xf numFmtId="0" fontId="5" fillId="24" borderId="10" xfId="72" applyFill="1" applyBorder="1" applyAlignment="1">
      <alignment horizontal="left" vertical="center"/>
    </xf>
    <xf numFmtId="168" fontId="29" fillId="24" borderId="10" xfId="50" applyNumberFormat="1" applyFont="1" applyFill="1" applyBorder="1"/>
    <xf numFmtId="166" fontId="27" fillId="24" borderId="10" xfId="72" applyNumberFormat="1" applyFont="1" applyFill="1" applyBorder="1" applyAlignment="1">
      <alignment horizontal="left" vertical="center"/>
    </xf>
    <xf numFmtId="166" fontId="35" fillId="24" borderId="10" xfId="72" applyNumberFormat="1" applyFont="1" applyFill="1" applyBorder="1" applyAlignment="1">
      <alignment horizontal="left" vertical="center"/>
    </xf>
    <xf numFmtId="171" fontId="29" fillId="0" borderId="0" xfId="0" applyNumberFormat="1" applyFont="1"/>
    <xf numFmtId="171" fontId="30" fillId="0" borderId="0" xfId="78" applyNumberFormat="1" applyFont="1"/>
    <xf numFmtId="168" fontId="0" fillId="0" borderId="0" xfId="0" applyNumberFormat="1"/>
    <xf numFmtId="0" fontId="30" fillId="24" borderId="25" xfId="0" applyFont="1" applyFill="1" applyBorder="1"/>
    <xf numFmtId="168" fontId="28" fillId="24" borderId="10" xfId="49" applyNumberFormat="1" applyFont="1" applyFill="1" applyBorder="1" applyAlignment="1">
      <alignment vertical="center"/>
    </xf>
    <xf numFmtId="168" fontId="27" fillId="24" borderId="10" xfId="41" applyNumberFormat="1" applyFont="1" applyFill="1" applyBorder="1" applyAlignment="1">
      <alignment vertical="center"/>
    </xf>
    <xf numFmtId="0" fontId="30" fillId="0" borderId="50" xfId="0" applyFont="1" applyBorder="1" applyAlignment="1">
      <alignment horizontal="center" vertical="center"/>
    </xf>
    <xf numFmtId="0" fontId="30" fillId="0" borderId="30" xfId="0" quotePrefix="1" applyFont="1" applyBorder="1" applyAlignment="1">
      <alignment horizontal="center" vertical="center"/>
    </xf>
    <xf numFmtId="0" fontId="28" fillId="26" borderId="0" xfId="0" applyFont="1" applyFill="1"/>
    <xf numFmtId="0" fontId="28" fillId="26" borderId="0" xfId="0" applyFont="1" applyFill="1" applyAlignment="1">
      <alignment horizontal="left" vertical="center"/>
    </xf>
    <xf numFmtId="0" fontId="26" fillId="26" borderId="0" xfId="0" applyFont="1" applyFill="1"/>
    <xf numFmtId="0" fontId="27" fillId="26" borderId="10" xfId="0" applyFont="1" applyFill="1" applyBorder="1" applyAlignment="1">
      <alignment horizontal="center" vertical="center" wrapText="1"/>
    </xf>
    <xf numFmtId="1" fontId="26" fillId="26" borderId="10" xfId="0" applyNumberFormat="1" applyFont="1" applyFill="1" applyBorder="1" applyAlignment="1">
      <alignment horizontal="center" vertical="center"/>
    </xf>
    <xf numFmtId="0" fontId="26" fillId="26" borderId="10" xfId="0" applyFont="1" applyFill="1" applyBorder="1" applyAlignment="1">
      <alignment horizontal="center" vertical="center"/>
    </xf>
    <xf numFmtId="165" fontId="27" fillId="26" borderId="10" xfId="0" quotePrefix="1" applyNumberFormat="1" applyFont="1" applyFill="1" applyBorder="1" applyAlignment="1">
      <alignment horizontal="center" vertical="center"/>
    </xf>
    <xf numFmtId="0" fontId="27" fillId="26" borderId="10" xfId="0" applyFont="1" applyFill="1" applyBorder="1" applyAlignment="1">
      <alignment vertical="center" wrapText="1"/>
    </xf>
    <xf numFmtId="166" fontId="27" fillId="26" borderId="10" xfId="0" applyNumberFormat="1" applyFont="1" applyFill="1" applyBorder="1" applyAlignment="1">
      <alignment horizontal="left" vertical="center"/>
    </xf>
    <xf numFmtId="168" fontId="26" fillId="26" borderId="10" xfId="41" applyNumberFormat="1" applyFont="1" applyFill="1" applyBorder="1"/>
    <xf numFmtId="168" fontId="26" fillId="26" borderId="0" xfId="41" applyNumberFormat="1" applyFont="1" applyFill="1" applyBorder="1"/>
    <xf numFmtId="168" fontId="26" fillId="26" borderId="0" xfId="0" applyNumberFormat="1" applyFont="1" applyFill="1"/>
    <xf numFmtId="0" fontId="27" fillId="26" borderId="10" xfId="0" applyFont="1" applyFill="1" applyBorder="1" applyAlignment="1">
      <alignment horizontal="left" vertical="center" wrapText="1"/>
    </xf>
    <xf numFmtId="0" fontId="27" fillId="26" borderId="0" xfId="0" applyFont="1" applyFill="1"/>
    <xf numFmtId="168" fontId="27" fillId="26" borderId="0" xfId="0" applyNumberFormat="1" applyFont="1" applyFill="1"/>
    <xf numFmtId="0" fontId="29" fillId="26" borderId="10" xfId="0" applyFont="1" applyFill="1" applyBorder="1" applyAlignment="1">
      <alignment horizontal="left" vertical="center" wrapText="1"/>
    </xf>
    <xf numFmtId="0" fontId="37" fillId="26" borderId="10" xfId="0" applyFont="1" applyFill="1" applyBorder="1" applyAlignment="1">
      <alignment horizontal="left" vertical="center" wrapText="1"/>
    </xf>
    <xf numFmtId="166" fontId="35" fillId="26" borderId="10" xfId="0" applyNumberFormat="1" applyFont="1" applyFill="1" applyBorder="1" applyAlignment="1">
      <alignment horizontal="left" vertical="center"/>
    </xf>
    <xf numFmtId="0" fontId="36" fillId="26" borderId="0" xfId="0" applyFont="1" applyFill="1"/>
    <xf numFmtId="0" fontId="27" fillId="26" borderId="10" xfId="0" applyFont="1" applyFill="1" applyBorder="1" applyAlignment="1">
      <alignment horizontal="left" vertical="center"/>
    </xf>
    <xf numFmtId="0" fontId="35" fillId="26" borderId="10" xfId="0" applyFont="1" applyFill="1" applyBorder="1" applyAlignment="1">
      <alignment horizontal="left" vertical="center"/>
    </xf>
    <xf numFmtId="0" fontId="35" fillId="26" borderId="0" xfId="0" applyFont="1" applyFill="1"/>
    <xf numFmtId="0" fontId="27" fillId="26" borderId="10" xfId="0" applyFont="1" applyFill="1" applyBorder="1" applyAlignment="1">
      <alignment horizontal="right" vertical="center"/>
    </xf>
    <xf numFmtId="0" fontId="26" fillId="26" borderId="0" xfId="0" applyFont="1" applyFill="1" applyAlignment="1">
      <alignment horizontal="left" vertical="center"/>
    </xf>
    <xf numFmtId="168" fontId="26" fillId="26" borderId="52" xfId="0" applyNumberFormat="1" applyFont="1" applyFill="1" applyBorder="1"/>
    <xf numFmtId="3" fontId="26" fillId="26" borderId="0" xfId="0" applyNumberFormat="1" applyFont="1" applyFill="1"/>
    <xf numFmtId="165" fontId="26" fillId="26" borderId="0" xfId="0" applyNumberFormat="1" applyFont="1" applyFill="1"/>
    <xf numFmtId="168" fontId="27" fillId="0" borderId="10" xfId="41" applyNumberFormat="1" applyFont="1" applyFill="1" applyBorder="1" applyAlignment="1">
      <alignment horizontal="right" vertical="center"/>
    </xf>
    <xf numFmtId="0" fontId="30" fillId="27" borderId="0" xfId="0" applyFont="1" applyFill="1"/>
    <xf numFmtId="165" fontId="27" fillId="0" borderId="10" xfId="71" quotePrefix="1" applyNumberFormat="1" applyFont="1" applyBorder="1" applyAlignment="1">
      <alignment horizontal="center" vertical="center"/>
    </xf>
    <xf numFmtId="0" fontId="27" fillId="0" borderId="10" xfId="71" applyFont="1" applyBorder="1" applyAlignment="1">
      <alignment horizontal="left" vertical="center" wrapText="1"/>
    </xf>
    <xf numFmtId="166" fontId="27" fillId="0" borderId="10" xfId="71" applyNumberFormat="1" applyFont="1" applyBorder="1" applyAlignment="1">
      <alignment horizontal="left" vertical="center"/>
    </xf>
    <xf numFmtId="0" fontId="38" fillId="0" borderId="0" xfId="71"/>
    <xf numFmtId="166" fontId="27" fillId="0" borderId="10" xfId="71" applyNumberFormat="1" applyFont="1" applyBorder="1" applyAlignment="1">
      <alignment vertical="center"/>
    </xf>
    <xf numFmtId="168" fontId="26" fillId="27" borderId="0" xfId="0" applyNumberFormat="1" applyFont="1" applyFill="1"/>
    <xf numFmtId="0" fontId="26" fillId="27" borderId="0" xfId="0" applyFont="1" applyFill="1"/>
    <xf numFmtId="0" fontId="26" fillId="0" borderId="0" xfId="0" applyFont="1" applyAlignment="1">
      <alignment horizontal="right"/>
    </xf>
    <xf numFmtId="168" fontId="35" fillId="0" borderId="10" xfId="41" applyNumberFormat="1" applyFont="1" applyFill="1" applyBorder="1" applyAlignment="1">
      <alignment horizontal="right" vertical="center"/>
    </xf>
    <xf numFmtId="168" fontId="27" fillId="0" borderId="10" xfId="41" applyNumberFormat="1" applyFont="1" applyFill="1" applyBorder="1"/>
    <xf numFmtId="168" fontId="26" fillId="0" borderId="10" xfId="41" applyNumberFormat="1" applyFont="1" applyFill="1" applyBorder="1"/>
    <xf numFmtId="3" fontId="27" fillId="0" borderId="10" xfId="0" applyNumberFormat="1" applyFont="1" applyBorder="1" applyAlignment="1">
      <alignment horizontal="center" vertical="center"/>
    </xf>
    <xf numFmtId="3" fontId="27" fillId="0" borderId="10" xfId="0" applyNumberFormat="1" applyFont="1" applyBorder="1" applyAlignment="1">
      <alignment horizontal="right" vertical="center"/>
    </xf>
    <xf numFmtId="168" fontId="26" fillId="0" borderId="0" xfId="0" applyNumberFormat="1" applyFont="1"/>
    <xf numFmtId="0" fontId="26" fillId="0" borderId="0" xfId="0" applyFont="1"/>
    <xf numFmtId="168" fontId="36" fillId="0" borderId="10" xfId="41" applyNumberFormat="1" applyFont="1" applyFill="1" applyBorder="1"/>
    <xf numFmtId="0" fontId="28" fillId="0" borderId="0" xfId="0" applyFont="1"/>
    <xf numFmtId="168" fontId="35" fillId="0" borderId="10" xfId="41" applyNumberFormat="1" applyFont="1" applyFill="1" applyBorder="1"/>
    <xf numFmtId="168" fontId="27" fillId="0" borderId="10" xfId="41" applyNumberFormat="1" applyFont="1" applyFill="1" applyBorder="1" applyAlignment="1">
      <alignment horizontal="center" vertical="center"/>
    </xf>
    <xf numFmtId="165" fontId="27" fillId="0" borderId="10" xfId="72" quotePrefix="1" applyNumberFormat="1" applyFont="1" applyBorder="1" applyAlignment="1">
      <alignment horizontal="center" vertical="center"/>
    </xf>
    <xf numFmtId="0" fontId="27" fillId="0" borderId="10" xfId="72" applyFont="1" applyBorder="1" applyAlignment="1">
      <alignment vertical="center" wrapText="1"/>
    </xf>
    <xf numFmtId="166" fontId="27" fillId="0" borderId="10" xfId="72" applyNumberFormat="1" applyFont="1" applyBorder="1" applyAlignment="1">
      <alignment vertical="center"/>
    </xf>
    <xf numFmtId="168" fontId="28" fillId="0" borderId="10" xfId="50" applyNumberFormat="1" applyFont="1" applyFill="1" applyBorder="1" applyAlignment="1">
      <alignment vertical="center"/>
    </xf>
    <xf numFmtId="0" fontId="27" fillId="0" borderId="10" xfId="72" applyFont="1" applyBorder="1" applyAlignment="1">
      <alignment horizontal="left" vertical="center" wrapText="1"/>
    </xf>
    <xf numFmtId="0" fontId="31" fillId="28" borderId="0" xfId="0" applyFont="1" applyFill="1"/>
    <xf numFmtId="168" fontId="31" fillId="28" borderId="0" xfId="0" applyNumberFormat="1" applyFont="1" applyFill="1"/>
    <xf numFmtId="0" fontId="30" fillId="26" borderId="0" xfId="0" applyFont="1" applyFill="1"/>
    <xf numFmtId="168" fontId="27" fillId="26" borderId="10" xfId="41" applyNumberFormat="1" applyFont="1" applyFill="1" applyBorder="1" applyAlignment="1">
      <alignment horizontal="right" vertical="center"/>
    </xf>
    <xf numFmtId="168" fontId="30" fillId="26" borderId="0" xfId="41" applyNumberFormat="1" applyFont="1" applyFill="1" applyBorder="1"/>
    <xf numFmtId="168" fontId="35" fillId="26" borderId="10" xfId="41" applyNumberFormat="1" applyFont="1" applyFill="1" applyBorder="1" applyAlignment="1">
      <alignment horizontal="right" vertical="center"/>
    </xf>
    <xf numFmtId="168" fontId="27" fillId="26" borderId="10" xfId="41" applyNumberFormat="1" applyFont="1" applyFill="1" applyBorder="1"/>
    <xf numFmtId="3" fontId="27" fillId="26" borderId="10" xfId="0" applyNumberFormat="1" applyFont="1" applyFill="1" applyBorder="1" applyAlignment="1">
      <alignment horizontal="right" vertical="center"/>
    </xf>
    <xf numFmtId="171" fontId="27" fillId="24" borderId="0" xfId="78" applyNumberFormat="1" applyFont="1" applyFill="1"/>
    <xf numFmtId="171" fontId="30" fillId="0" borderId="0" xfId="0" applyNumberFormat="1" applyFont="1"/>
    <xf numFmtId="168" fontId="35" fillId="24" borderId="0" xfId="0" applyNumberFormat="1" applyFont="1" applyFill="1"/>
    <xf numFmtId="168" fontId="30" fillId="0" borderId="57" xfId="41" applyNumberFormat="1" applyFont="1" applyFill="1" applyBorder="1" applyAlignment="1">
      <alignment vertical="center"/>
    </xf>
    <xf numFmtId="0" fontId="30" fillId="0" borderId="30" xfId="0" applyFont="1" applyBorder="1" applyAlignment="1">
      <alignment vertical="center"/>
    </xf>
    <xf numFmtId="0" fontId="30" fillId="0" borderId="30" xfId="0" applyFont="1" applyBorder="1" applyAlignment="1">
      <alignment vertical="center" wrapText="1"/>
    </xf>
    <xf numFmtId="168" fontId="30" fillId="0" borderId="30" xfId="41" applyNumberFormat="1" applyFont="1" applyFill="1" applyBorder="1" applyAlignment="1">
      <alignment vertical="center"/>
    </xf>
    <xf numFmtId="168" fontId="30" fillId="0" borderId="58" xfId="41" applyNumberFormat="1" applyFont="1" applyFill="1" applyBorder="1" applyAlignment="1">
      <alignment vertical="center"/>
    </xf>
    <xf numFmtId="168" fontId="30" fillId="0" borderId="46" xfId="41" applyNumberFormat="1" applyFont="1" applyFill="1" applyBorder="1" applyAlignment="1">
      <alignment horizontal="center" vertical="center" wrapText="1"/>
    </xf>
    <xf numFmtId="0" fontId="30" fillId="0" borderId="14" xfId="0" applyFont="1" applyBorder="1" applyAlignment="1">
      <alignment horizontal="center" vertical="center"/>
    </xf>
    <xf numFmtId="0" fontId="62" fillId="0" borderId="18" xfId="0" applyFont="1" applyBorder="1" applyAlignment="1">
      <alignment horizontal="center" vertical="center"/>
    </xf>
    <xf numFmtId="168" fontId="31" fillId="0" borderId="19" xfId="41" applyNumberFormat="1" applyFont="1" applyFill="1" applyBorder="1" applyAlignment="1">
      <alignment horizontal="center" vertical="center" wrapText="1"/>
    </xf>
    <xf numFmtId="0" fontId="30" fillId="0" borderId="14" xfId="0" applyFont="1" applyBorder="1" applyAlignment="1">
      <alignment horizontal="center" vertical="center" wrapText="1"/>
    </xf>
    <xf numFmtId="168" fontId="31" fillId="0" borderId="18" xfId="41" applyNumberFormat="1" applyFont="1" applyFill="1" applyBorder="1" applyAlignment="1">
      <alignment horizontal="center" vertical="center"/>
    </xf>
    <xf numFmtId="168" fontId="31" fillId="0" borderId="19" xfId="41" applyNumberFormat="1" applyFont="1" applyFill="1" applyBorder="1"/>
    <xf numFmtId="168" fontId="31" fillId="0" borderId="18" xfId="41" applyNumberFormat="1" applyFont="1" applyFill="1" applyBorder="1" applyAlignment="1">
      <alignment vertical="center"/>
    </xf>
    <xf numFmtId="0" fontId="30" fillId="0" borderId="41" xfId="0" applyFont="1" applyBorder="1"/>
    <xf numFmtId="49" fontId="30" fillId="0" borderId="18" xfId="0" applyNumberFormat="1" applyFont="1" applyBorder="1"/>
    <xf numFmtId="168" fontId="30" fillId="0" borderId="19" xfId="41" applyNumberFormat="1" applyFont="1" applyFill="1" applyBorder="1"/>
    <xf numFmtId="168" fontId="30" fillId="0" borderId="17" xfId="41" applyNumberFormat="1" applyFont="1" applyFill="1" applyBorder="1" applyAlignment="1">
      <alignment horizontal="center" vertical="center" wrapText="1"/>
    </xf>
    <xf numFmtId="0" fontId="30" fillId="0" borderId="14" xfId="0" applyFont="1" applyBorder="1" applyAlignment="1">
      <alignment horizontal="left" vertical="center" wrapText="1"/>
    </xf>
    <xf numFmtId="168" fontId="30" fillId="0" borderId="14" xfId="41" applyNumberFormat="1" applyFont="1" applyFill="1" applyBorder="1" applyAlignment="1">
      <alignment vertical="center"/>
    </xf>
    <xf numFmtId="168" fontId="30" fillId="0" borderId="17" xfId="41" applyNumberFormat="1" applyFont="1" applyFill="1" applyBorder="1"/>
    <xf numFmtId="0" fontId="42" fillId="0" borderId="10" xfId="0" applyFont="1" applyBorder="1" applyAlignment="1">
      <alignment horizontal="center" vertical="center" textRotation="90" wrapText="1"/>
    </xf>
    <xf numFmtId="168" fontId="26" fillId="24" borderId="29" xfId="50" applyNumberFormat="1" applyFont="1" applyFill="1" applyBorder="1" applyAlignment="1">
      <alignment horizontal="center" vertical="center"/>
    </xf>
    <xf numFmtId="168" fontId="30" fillId="0" borderId="20" xfId="41" applyNumberFormat="1" applyFont="1" applyFill="1" applyBorder="1"/>
    <xf numFmtId="49" fontId="30" fillId="0" borderId="20" xfId="0" quotePrefix="1" applyNumberFormat="1" applyFont="1" applyBorder="1" applyAlignment="1">
      <alignment horizontal="center" vertical="center"/>
    </xf>
    <xf numFmtId="168" fontId="26" fillId="29" borderId="0" xfId="0" applyNumberFormat="1" applyFont="1" applyFill="1"/>
    <xf numFmtId="3" fontId="26" fillId="24" borderId="0" xfId="0" applyNumberFormat="1" applyFont="1" applyFill="1"/>
    <xf numFmtId="169" fontId="42" fillId="0" borderId="20" xfId="43" applyNumberFormat="1" applyFont="1" applyFill="1" applyBorder="1"/>
    <xf numFmtId="5" fontId="42" fillId="0" borderId="34" xfId="80" applyNumberFormat="1" applyFont="1" applyFill="1" applyBorder="1"/>
    <xf numFmtId="168" fontId="64" fillId="24" borderId="0" xfId="0" applyNumberFormat="1" applyFont="1" applyFill="1"/>
    <xf numFmtId="165" fontId="27" fillId="0" borderId="10" xfId="0" quotePrefix="1" applyNumberFormat="1" applyFont="1" applyBorder="1" applyAlignment="1">
      <alignment horizontal="center" vertical="center"/>
    </xf>
    <xf numFmtId="0" fontId="27" fillId="0" borderId="10" xfId="0" applyFont="1" applyBorder="1" applyAlignment="1">
      <alignment horizontal="right" vertical="center"/>
    </xf>
    <xf numFmtId="166" fontId="27" fillId="0" borderId="10" xfId="0" applyNumberFormat="1" applyFont="1" applyBorder="1" applyAlignment="1">
      <alignment horizontal="left" vertical="center"/>
    </xf>
    <xf numFmtId="0" fontId="27" fillId="0" borderId="0" xfId="0" applyFont="1"/>
    <xf numFmtId="0" fontId="26" fillId="0" borderId="10" xfId="0" applyFont="1" applyBorder="1" applyAlignment="1">
      <alignment horizontal="center" vertical="center"/>
    </xf>
    <xf numFmtId="168" fontId="35" fillId="26" borderId="10" xfId="41" applyNumberFormat="1" applyFont="1" applyFill="1" applyBorder="1"/>
    <xf numFmtId="168" fontId="26" fillId="24" borderId="10" xfId="49" applyNumberFormat="1" applyFont="1" applyFill="1" applyBorder="1" applyAlignment="1">
      <alignment horizontal="center" vertical="center"/>
    </xf>
    <xf numFmtId="168" fontId="30" fillId="0" borderId="34" xfId="41" applyNumberFormat="1" applyFont="1" applyFill="1" applyBorder="1" applyAlignment="1">
      <alignment vertical="center"/>
    </xf>
    <xf numFmtId="5" fontId="43" fillId="0" borderId="34" xfId="80" applyNumberFormat="1" applyFont="1" applyFill="1" applyBorder="1"/>
    <xf numFmtId="5" fontId="42" fillId="0" borderId="20" xfId="43" applyNumberFormat="1" applyFont="1" applyFill="1" applyBorder="1" applyAlignment="1"/>
    <xf numFmtId="0" fontId="0" fillId="0" borderId="0" xfId="0" applyAlignment="1">
      <alignment horizontal="center"/>
    </xf>
    <xf numFmtId="168" fontId="65" fillId="0" borderId="10" xfId="41" applyNumberFormat="1" applyFont="1" applyFill="1" applyBorder="1" applyAlignment="1">
      <alignment horizontal="center" vertical="center"/>
    </xf>
    <xf numFmtId="0" fontId="30" fillId="0" borderId="10" xfId="0" applyFont="1" applyBorder="1" applyAlignment="1">
      <alignment horizontal="center" vertical="center"/>
    </xf>
    <xf numFmtId="168" fontId="30" fillId="0" borderId="14" xfId="41" applyNumberFormat="1" applyFont="1" applyFill="1" applyBorder="1" applyAlignment="1">
      <alignment horizontal="center" vertical="center"/>
    </xf>
    <xf numFmtId="168" fontId="30" fillId="0" borderId="37" xfId="41" applyNumberFormat="1" applyFont="1" applyFill="1" applyBorder="1" applyAlignment="1">
      <alignment horizontal="center" vertical="center"/>
    </xf>
    <xf numFmtId="168" fontId="31" fillId="0" borderId="55" xfId="41" applyNumberFormat="1" applyFont="1" applyFill="1" applyBorder="1" applyAlignment="1">
      <alignment vertical="center"/>
    </xf>
    <xf numFmtId="168" fontId="31" fillId="0" borderId="19" xfId="41" applyNumberFormat="1" applyFont="1" applyFill="1" applyBorder="1" applyAlignment="1">
      <alignment vertical="center"/>
    </xf>
    <xf numFmtId="171" fontId="42" fillId="0" borderId="20" xfId="80" applyNumberFormat="1" applyFont="1" applyFill="1" applyBorder="1"/>
    <xf numFmtId="169" fontId="42" fillId="0" borderId="42" xfId="43" applyNumberFormat="1" applyFont="1" applyFill="1" applyBorder="1"/>
    <xf numFmtId="171" fontId="42" fillId="0" borderId="42" xfId="80" applyNumberFormat="1" applyFont="1" applyFill="1" applyBorder="1"/>
    <xf numFmtId="170" fontId="26" fillId="0" borderId="20" xfId="80" applyNumberFormat="1" applyFont="1" applyFill="1" applyBorder="1" applyAlignment="1"/>
    <xf numFmtId="169" fontId="42" fillId="0" borderId="20" xfId="43" applyNumberFormat="1" applyFont="1" applyFill="1" applyBorder="1" applyAlignment="1">
      <alignment horizontal="center"/>
    </xf>
    <xf numFmtId="170" fontId="27" fillId="0" borderId="20" xfId="80" applyNumberFormat="1" applyFont="1" applyFill="1" applyBorder="1" applyAlignment="1">
      <alignment wrapText="1"/>
    </xf>
    <xf numFmtId="170" fontId="27" fillId="0" borderId="20" xfId="80" applyNumberFormat="1" applyFont="1" applyFill="1" applyBorder="1" applyAlignment="1"/>
    <xf numFmtId="170" fontId="27" fillId="0" borderId="34" xfId="80" applyNumberFormat="1" applyFont="1" applyFill="1" applyBorder="1" applyAlignment="1"/>
    <xf numFmtId="170" fontId="0" fillId="0" borderId="0" xfId="0" applyNumberFormat="1"/>
    <xf numFmtId="49" fontId="58" fillId="0" borderId="20" xfId="0" applyNumberFormat="1" applyFont="1" applyBorder="1"/>
    <xf numFmtId="0" fontId="30" fillId="24" borderId="20" xfId="0" applyFont="1" applyFill="1" applyBorder="1" applyAlignment="1">
      <alignment horizontal="left" vertical="center" wrapText="1"/>
    </xf>
    <xf numFmtId="49" fontId="30" fillId="0" borderId="17" xfId="0" quotePrefix="1" applyNumberFormat="1" applyFont="1" applyBorder="1" applyAlignment="1">
      <alignment horizontal="center" vertical="center"/>
    </xf>
    <xf numFmtId="0" fontId="30" fillId="0" borderId="17" xfId="0" quotePrefix="1" applyFont="1" applyBorder="1" applyAlignment="1">
      <alignment horizontal="center" vertical="center"/>
    </xf>
    <xf numFmtId="168" fontId="30" fillId="0" borderId="69" xfId="41" applyNumberFormat="1" applyFont="1" applyFill="1" applyBorder="1" applyAlignment="1">
      <alignment vertical="center"/>
    </xf>
    <xf numFmtId="49" fontId="30" fillId="26" borderId="20" xfId="0" quotePrefix="1" applyNumberFormat="1" applyFont="1" applyFill="1" applyBorder="1" applyAlignment="1">
      <alignment horizontal="center" vertical="center"/>
    </xf>
    <xf numFmtId="49" fontId="30" fillId="0" borderId="17" xfId="0" applyNumberFormat="1" applyFont="1" applyBorder="1" applyAlignment="1">
      <alignment horizontal="center" vertical="center"/>
    </xf>
    <xf numFmtId="168" fontId="30" fillId="0" borderId="12" xfId="41" applyNumberFormat="1" applyFont="1" applyFill="1" applyBorder="1" applyAlignment="1">
      <alignment vertical="center"/>
    </xf>
    <xf numFmtId="49" fontId="42" fillId="0" borderId="21" xfId="80" applyNumberFormat="1" applyFont="1" applyFill="1" applyBorder="1" applyAlignment="1">
      <alignment horizontal="left"/>
    </xf>
    <xf numFmtId="49" fontId="26" fillId="0" borderId="21" xfId="80" applyNumberFormat="1" applyFont="1" applyFill="1" applyBorder="1" applyAlignment="1">
      <alignment horizontal="left"/>
    </xf>
    <xf numFmtId="49" fontId="30" fillId="0" borderId="21" xfId="0" applyNumberFormat="1" applyFont="1" applyBorder="1" applyAlignment="1">
      <alignment horizontal="left"/>
    </xf>
    <xf numFmtId="0" fontId="30" fillId="0" borderId="17" xfId="0" applyFont="1" applyBorder="1" applyAlignment="1">
      <alignment vertical="center" wrapText="1"/>
    </xf>
    <xf numFmtId="0" fontId="66" fillId="0" borderId="18" xfId="90" applyFont="1" applyBorder="1" applyAlignment="1">
      <alignment horizontal="center" vertical="center" wrapText="1"/>
    </xf>
    <xf numFmtId="172" fontId="26" fillId="0" borderId="20" xfId="90" applyNumberFormat="1" applyFont="1" applyBorder="1" applyAlignment="1">
      <alignment horizontal="right" vertical="center" wrapText="1"/>
    </xf>
    <xf numFmtId="5" fontId="26" fillId="0" borderId="20" xfId="90" applyNumberFormat="1" applyFont="1" applyBorder="1" applyAlignment="1">
      <alignment horizontal="right" vertical="center" wrapText="1"/>
    </xf>
    <xf numFmtId="5" fontId="26" fillId="0" borderId="34" xfId="90" applyNumberFormat="1" applyFont="1" applyBorder="1" applyAlignment="1">
      <alignment horizontal="right" vertical="center" wrapText="1"/>
    </xf>
    <xf numFmtId="173" fontId="26" fillId="0" borderId="20" xfId="90" applyNumberFormat="1" applyFont="1" applyBorder="1" applyAlignment="1">
      <alignment horizontal="right" vertical="center" wrapText="1"/>
    </xf>
    <xf numFmtId="5" fontId="42" fillId="0" borderId="20" xfId="90" applyNumberFormat="1" applyFont="1" applyBorder="1"/>
    <xf numFmtId="5" fontId="42" fillId="0" borderId="34" xfId="90" applyNumberFormat="1" applyFont="1" applyBorder="1"/>
    <xf numFmtId="0" fontId="30" fillId="0" borderId="20" xfId="90" applyFont="1" applyBorder="1"/>
    <xf numFmtId="5" fontId="43" fillId="0" borderId="34" xfId="90" applyNumberFormat="1" applyFont="1" applyBorder="1"/>
    <xf numFmtId="170" fontId="55" fillId="0" borderId="20" xfId="90" applyNumberFormat="1" applyFont="1" applyBorder="1"/>
    <xf numFmtId="170" fontId="43" fillId="0" borderId="34" xfId="90" applyNumberFormat="1" applyFont="1" applyBorder="1"/>
    <xf numFmtId="0" fontId="55" fillId="0" borderId="20" xfId="90" applyFont="1" applyBorder="1" applyAlignment="1">
      <alignment wrapText="1"/>
    </xf>
    <xf numFmtId="170" fontId="42" fillId="0" borderId="20" xfId="90" applyNumberFormat="1" applyFont="1" applyBorder="1"/>
    <xf numFmtId="170" fontId="42" fillId="0" borderId="34" xfId="90" applyNumberFormat="1" applyFont="1" applyBorder="1"/>
    <xf numFmtId="0" fontId="66" fillId="0" borderId="20" xfId="90" applyFont="1" applyBorder="1" applyAlignment="1">
      <alignment horizontal="center"/>
    </xf>
    <xf numFmtId="5" fontId="26" fillId="0" borderId="20" xfId="90" applyNumberFormat="1" applyFont="1" applyBorder="1" applyAlignment="1">
      <alignment horizontal="left" vertical="center" wrapText="1"/>
    </xf>
    <xf numFmtId="44" fontId="0" fillId="0" borderId="0" xfId="78" applyFont="1"/>
    <xf numFmtId="168" fontId="30" fillId="26" borderId="17" xfId="41" applyNumberFormat="1" applyFont="1" applyFill="1" applyBorder="1" applyAlignment="1">
      <alignment vertical="center"/>
    </xf>
    <xf numFmtId="168" fontId="30" fillId="26" borderId="20" xfId="41" applyNumberFormat="1" applyFont="1" applyFill="1" applyBorder="1" applyAlignment="1">
      <alignment horizontal="center" vertical="center"/>
    </xf>
    <xf numFmtId="49" fontId="30" fillId="0" borderId="14" xfId="0" quotePrefix="1" applyNumberFormat="1" applyFont="1" applyBorder="1" applyAlignment="1">
      <alignment horizontal="center" vertical="center"/>
    </xf>
    <xf numFmtId="0" fontId="30" fillId="0" borderId="18" xfId="0" applyFont="1" applyBorder="1" applyAlignment="1">
      <alignment horizontal="center" vertical="center" wrapText="1"/>
    </xf>
    <xf numFmtId="168" fontId="30" fillId="0" borderId="18" xfId="41" applyNumberFormat="1" applyFont="1" applyFill="1" applyBorder="1" applyAlignment="1">
      <alignment horizontal="center" vertical="center" wrapText="1"/>
    </xf>
    <xf numFmtId="0" fontId="48" fillId="24" borderId="0" xfId="0" applyFont="1" applyFill="1" applyAlignment="1">
      <alignment horizontal="center" vertical="center"/>
    </xf>
    <xf numFmtId="168" fontId="31" fillId="24" borderId="19" xfId="41" applyNumberFormat="1" applyFont="1" applyFill="1" applyBorder="1" applyAlignment="1">
      <alignment vertical="center"/>
    </xf>
    <xf numFmtId="168" fontId="30" fillId="26" borderId="14" xfId="41" applyNumberFormat="1" applyFont="1" applyFill="1" applyBorder="1" applyAlignment="1">
      <alignment horizontal="center" vertical="center"/>
    </xf>
    <xf numFmtId="0" fontId="30" fillId="24" borderId="37" xfId="0" applyFont="1" applyFill="1" applyBorder="1" applyAlignment="1">
      <alignment horizontal="center" vertical="center"/>
    </xf>
    <xf numFmtId="0" fontId="30" fillId="24" borderId="19" xfId="0" applyFont="1" applyFill="1" applyBorder="1" applyAlignment="1">
      <alignment horizontal="center" vertical="center"/>
    </xf>
    <xf numFmtId="0" fontId="30" fillId="24" borderId="41" xfId="0" applyFont="1" applyFill="1" applyBorder="1" applyAlignment="1">
      <alignment horizontal="center"/>
    </xf>
    <xf numFmtId="0" fontId="30" fillId="24" borderId="18" xfId="0" applyFont="1" applyFill="1" applyBorder="1"/>
    <xf numFmtId="168" fontId="30" fillId="24" borderId="18" xfId="41" applyNumberFormat="1" applyFont="1" applyFill="1" applyBorder="1" applyAlignment="1">
      <alignment vertical="center"/>
    </xf>
    <xf numFmtId="0" fontId="30" fillId="24" borderId="19" xfId="0" applyFont="1" applyFill="1" applyBorder="1" applyAlignment="1">
      <alignment vertical="center"/>
    </xf>
    <xf numFmtId="0" fontId="30" fillId="26" borderId="20" xfId="0" applyFont="1" applyFill="1" applyBorder="1" applyAlignment="1">
      <alignment horizontal="left" vertical="center" wrapText="1"/>
    </xf>
    <xf numFmtId="168" fontId="30" fillId="0" borderId="14" xfId="41" applyNumberFormat="1" applyFont="1" applyFill="1" applyBorder="1"/>
    <xf numFmtId="168" fontId="31" fillId="0" borderId="30" xfId="41" applyNumberFormat="1" applyFont="1" applyFill="1" applyBorder="1" applyAlignment="1">
      <alignment horizontal="center" vertical="center"/>
    </xf>
    <xf numFmtId="168" fontId="26" fillId="0" borderId="10" xfId="41" applyNumberFormat="1" applyFont="1" applyFill="1" applyBorder="1" applyAlignment="1">
      <alignment horizontal="right" vertical="center"/>
    </xf>
    <xf numFmtId="168" fontId="36" fillId="0" borderId="10" xfId="41" applyNumberFormat="1" applyFont="1" applyFill="1" applyBorder="1" applyAlignment="1">
      <alignment horizontal="right" vertical="center"/>
    </xf>
    <xf numFmtId="0" fontId="30" fillId="0" borderId="22" xfId="0" applyFont="1" applyBorder="1" applyAlignment="1">
      <alignment horizontal="center" vertical="center"/>
    </xf>
    <xf numFmtId="0" fontId="30" fillId="0" borderId="42" xfId="0" applyFont="1" applyBorder="1" applyAlignment="1">
      <alignment horizontal="center" vertical="center"/>
    </xf>
    <xf numFmtId="5" fontId="55" fillId="0" borderId="20" xfId="90" applyNumberFormat="1" applyFont="1" applyBorder="1"/>
    <xf numFmtId="0" fontId="28" fillId="24" borderId="67" xfId="71" applyFont="1" applyFill="1" applyBorder="1"/>
    <xf numFmtId="0" fontId="28" fillId="24" borderId="28" xfId="71" applyFont="1" applyFill="1" applyBorder="1"/>
    <xf numFmtId="0" fontId="28" fillId="24" borderId="28" xfId="71" applyFont="1" applyFill="1" applyBorder="1" applyAlignment="1">
      <alignment horizontal="left" vertical="center"/>
    </xf>
    <xf numFmtId="168" fontId="28" fillId="26" borderId="0" xfId="49" applyNumberFormat="1" applyFont="1" applyFill="1" applyBorder="1" applyAlignment="1">
      <alignment vertical="center" wrapText="1"/>
    </xf>
    <xf numFmtId="0" fontId="28" fillId="24" borderId="28" xfId="71" applyFont="1" applyFill="1" applyBorder="1" applyAlignment="1">
      <alignment vertical="center"/>
    </xf>
    <xf numFmtId="0" fontId="28" fillId="24" borderId="28" xfId="71" applyFont="1" applyFill="1" applyBorder="1" applyAlignment="1">
      <alignment horizontal="center"/>
    </xf>
    <xf numFmtId="0" fontId="5" fillId="24" borderId="67" xfId="72" applyFill="1" applyBorder="1"/>
    <xf numFmtId="0" fontId="5" fillId="24" borderId="28" xfId="72" applyFill="1" applyBorder="1"/>
    <xf numFmtId="0" fontId="5" fillId="24" borderId="28" xfId="72" applyFill="1" applyBorder="1" applyAlignment="1">
      <alignment horizontal="left" vertical="center"/>
    </xf>
    <xf numFmtId="1" fontId="26" fillId="24" borderId="29" xfId="0" applyNumberFormat="1" applyFont="1" applyFill="1" applyBorder="1" applyAlignment="1">
      <alignment horizontal="center" vertical="center"/>
    </xf>
    <xf numFmtId="165" fontId="27" fillId="24" borderId="29" xfId="0" quotePrefix="1" applyNumberFormat="1" applyFont="1" applyFill="1" applyBorder="1" applyAlignment="1">
      <alignment horizontal="center" vertical="center"/>
    </xf>
    <xf numFmtId="168" fontId="26" fillId="0" borderId="59" xfId="41" applyNumberFormat="1" applyFont="1" applyFill="1" applyBorder="1"/>
    <xf numFmtId="0" fontId="28" fillId="26" borderId="41" xfId="0" applyFont="1" applyFill="1" applyBorder="1" applyAlignment="1">
      <alignment horizontal="center" vertical="center" wrapText="1"/>
    </xf>
    <xf numFmtId="0" fontId="30" fillId="24" borderId="18" xfId="0" applyFont="1" applyFill="1" applyBorder="1" applyAlignment="1">
      <alignment horizontal="center" vertical="center" wrapText="1"/>
    </xf>
    <xf numFmtId="168" fontId="31" fillId="24" borderId="24" xfId="41" applyNumberFormat="1" applyFont="1" applyFill="1" applyBorder="1" applyAlignment="1">
      <alignment vertical="center"/>
    </xf>
    <xf numFmtId="0" fontId="30" fillId="0" borderId="20" xfId="0" applyFont="1" applyBorder="1" applyAlignment="1">
      <alignment wrapText="1"/>
    </xf>
    <xf numFmtId="0" fontId="30" fillId="0" borderId="20" xfId="0" applyFont="1" applyBorder="1" applyAlignment="1">
      <alignment vertical="center" wrapText="1"/>
    </xf>
    <xf numFmtId="168" fontId="30" fillId="0" borderId="37" xfId="41" applyNumberFormat="1" applyFont="1" applyFill="1" applyBorder="1" applyAlignment="1">
      <alignment vertical="center"/>
    </xf>
    <xf numFmtId="0" fontId="28" fillId="26" borderId="55" xfId="0" applyFont="1" applyFill="1" applyBorder="1" applyAlignment="1">
      <alignment horizontal="center" vertical="center" wrapText="1"/>
    </xf>
    <xf numFmtId="168" fontId="31" fillId="24" borderId="55" xfId="41" applyNumberFormat="1" applyFont="1" applyFill="1" applyBorder="1" applyAlignment="1">
      <alignment vertical="center"/>
    </xf>
    <xf numFmtId="168" fontId="30" fillId="0" borderId="65" xfId="41" applyNumberFormat="1" applyFont="1" applyFill="1" applyBorder="1" applyAlignment="1">
      <alignment vertical="center"/>
    </xf>
    <xf numFmtId="168" fontId="30" fillId="0" borderId="19" xfId="41" applyNumberFormat="1" applyFont="1" applyFill="1" applyBorder="1" applyAlignment="1">
      <alignment vertical="center"/>
    </xf>
    <xf numFmtId="168" fontId="31" fillId="24" borderId="64" xfId="41" applyNumberFormat="1" applyFont="1" applyFill="1" applyBorder="1" applyAlignment="1">
      <alignment vertical="center"/>
    </xf>
    <xf numFmtId="168" fontId="30" fillId="24" borderId="18" xfId="41" applyNumberFormat="1" applyFont="1" applyFill="1" applyBorder="1" applyAlignment="1">
      <alignment horizontal="center" vertical="center" wrapText="1"/>
    </xf>
    <xf numFmtId="168" fontId="30" fillId="24" borderId="19" xfId="41" applyNumberFormat="1"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0" borderId="15" xfId="0" applyFont="1" applyBorder="1" applyAlignment="1">
      <alignment horizontal="center" vertical="center" wrapText="1"/>
    </xf>
    <xf numFmtId="168" fontId="31" fillId="0" borderId="18" xfId="41" applyNumberFormat="1" applyFont="1" applyFill="1" applyBorder="1"/>
    <xf numFmtId="168" fontId="30" fillId="0" borderId="18" xfId="41" applyNumberFormat="1" applyFont="1" applyFill="1" applyBorder="1"/>
    <xf numFmtId="0" fontId="30" fillId="0" borderId="49" xfId="0" applyFont="1" applyBorder="1" applyAlignment="1">
      <alignment horizontal="center" vertical="center" textRotation="90"/>
    </xf>
    <xf numFmtId="0" fontId="30" fillId="0" borderId="15" xfId="0" applyFont="1" applyBorder="1" applyAlignment="1">
      <alignment horizontal="center" vertical="center" textRotation="90"/>
    </xf>
    <xf numFmtId="0" fontId="30" fillId="0" borderId="15" xfId="0" applyFont="1" applyBorder="1" applyAlignment="1">
      <alignment horizontal="center" vertical="center"/>
    </xf>
    <xf numFmtId="168" fontId="34" fillId="24" borderId="18" xfId="41" applyNumberFormat="1" applyFont="1" applyFill="1" applyBorder="1" applyAlignment="1">
      <alignment horizontal="center" vertical="center"/>
    </xf>
    <xf numFmtId="168" fontId="34" fillId="24" borderId="19" xfId="41" applyNumberFormat="1" applyFont="1" applyFill="1" applyBorder="1" applyAlignment="1">
      <alignment horizontal="center" vertical="center"/>
    </xf>
    <xf numFmtId="0" fontId="30" fillId="24" borderId="25" xfId="0" applyFont="1" applyFill="1" applyBorder="1" applyAlignment="1">
      <alignment horizontal="center"/>
    </xf>
    <xf numFmtId="0" fontId="30" fillId="0" borderId="32" xfId="0" applyFont="1" applyBorder="1" applyAlignment="1">
      <alignment horizontal="center" vertical="center"/>
    </xf>
    <xf numFmtId="0" fontId="30" fillId="24" borderId="29" xfId="0" applyFont="1" applyFill="1" applyBorder="1" applyAlignment="1">
      <alignment horizontal="center" vertical="center"/>
    </xf>
    <xf numFmtId="0" fontId="30" fillId="0" borderId="17" xfId="0" applyFont="1" applyBorder="1" applyAlignment="1">
      <alignment horizontal="center" vertical="center" wrapText="1"/>
    </xf>
    <xf numFmtId="168" fontId="31" fillId="0" borderId="18" xfId="0" applyNumberFormat="1" applyFont="1" applyBorder="1" applyAlignment="1">
      <alignment vertical="center"/>
    </xf>
    <xf numFmtId="168" fontId="30" fillId="0" borderId="26" xfId="41" applyNumberFormat="1" applyFont="1" applyBorder="1" applyAlignment="1">
      <alignment vertical="center"/>
    </xf>
    <xf numFmtId="168" fontId="30" fillId="0" borderId="21" xfId="41" applyNumberFormat="1" applyFont="1" applyBorder="1" applyAlignment="1">
      <alignment vertical="center"/>
    </xf>
    <xf numFmtId="168" fontId="30" fillId="0" borderId="48" xfId="41" applyNumberFormat="1" applyFont="1" applyBorder="1" applyAlignment="1">
      <alignment vertical="center"/>
    </xf>
    <xf numFmtId="168" fontId="30" fillId="0" borderId="37" xfId="41" applyNumberFormat="1" applyFont="1" applyBorder="1" applyAlignment="1">
      <alignment vertical="center"/>
    </xf>
    <xf numFmtId="168" fontId="30" fillId="0" borderId="34" xfId="41" applyNumberFormat="1" applyFont="1" applyBorder="1" applyAlignment="1">
      <alignment vertical="center"/>
    </xf>
    <xf numFmtId="168" fontId="30" fillId="0" borderId="12" xfId="41" applyNumberFormat="1" applyFont="1" applyBorder="1" applyAlignment="1">
      <alignment vertical="center"/>
    </xf>
    <xf numFmtId="168" fontId="29" fillId="0" borderId="18" xfId="41" applyNumberFormat="1" applyFont="1" applyBorder="1" applyAlignment="1">
      <alignment vertical="center"/>
    </xf>
    <xf numFmtId="0" fontId="29" fillId="0" borderId="19" xfId="0" applyFont="1" applyBorder="1" applyAlignment="1">
      <alignment vertical="center"/>
    </xf>
    <xf numFmtId="5" fontId="57" fillId="0" borderId="0" xfId="90" applyNumberFormat="1" applyFont="1" applyAlignment="1">
      <alignment vertical="center" wrapText="1"/>
    </xf>
    <xf numFmtId="0" fontId="0" fillId="0" borderId="14" xfId="0" applyBorder="1"/>
    <xf numFmtId="5" fontId="26" fillId="0" borderId="21" xfId="90" applyNumberFormat="1" applyFont="1" applyBorder="1" applyAlignment="1">
      <alignment horizontal="left" vertical="center" wrapText="1"/>
    </xf>
    <xf numFmtId="0" fontId="66" fillId="0" borderId="41" xfId="90" applyFont="1" applyBorder="1" applyAlignment="1">
      <alignment horizontal="center" vertical="center" wrapText="1"/>
    </xf>
    <xf numFmtId="5" fontId="26" fillId="0" borderId="22" xfId="90" applyNumberFormat="1" applyFont="1" applyBorder="1" applyAlignment="1">
      <alignment horizontal="left" vertical="center" wrapText="1"/>
    </xf>
    <xf numFmtId="5" fontId="26" fillId="0" borderId="42" xfId="90" applyNumberFormat="1" applyFont="1" applyBorder="1" applyAlignment="1">
      <alignment horizontal="left" vertical="center" wrapText="1"/>
    </xf>
    <xf numFmtId="172" fontId="26" fillId="0" borderId="42" xfId="90" applyNumberFormat="1" applyFont="1" applyBorder="1" applyAlignment="1">
      <alignment horizontal="right" vertical="center" wrapText="1"/>
    </xf>
    <xf numFmtId="5" fontId="26" fillId="0" borderId="42" xfId="90" applyNumberFormat="1" applyFont="1" applyBorder="1" applyAlignment="1">
      <alignment horizontal="right" vertical="center" wrapText="1"/>
    </xf>
    <xf numFmtId="5" fontId="26" fillId="0" borderId="32" xfId="90" applyNumberFormat="1" applyFont="1" applyBorder="1" applyAlignment="1">
      <alignment horizontal="right" vertical="center" wrapText="1"/>
    </xf>
    <xf numFmtId="49" fontId="57" fillId="0" borderId="41" xfId="90" applyNumberFormat="1" applyFont="1" applyBorder="1" applyAlignment="1">
      <alignment horizontal="left" vertical="center" wrapText="1"/>
    </xf>
    <xf numFmtId="0" fontId="0" fillId="0" borderId="18" xfId="0" applyBorder="1"/>
    <xf numFmtId="5" fontId="54" fillId="0" borderId="18" xfId="90" applyNumberFormat="1" applyFont="1" applyBorder="1" applyAlignment="1">
      <alignment vertical="center" wrapText="1"/>
    </xf>
    <xf numFmtId="5" fontId="54" fillId="0" borderId="19" xfId="90" applyNumberFormat="1" applyFont="1" applyBorder="1" applyAlignment="1">
      <alignment vertical="center" wrapText="1"/>
    </xf>
    <xf numFmtId="49" fontId="42" fillId="0" borderId="26" xfId="90" applyNumberFormat="1" applyFont="1" applyBorder="1" applyAlignment="1">
      <alignment horizontal="left"/>
    </xf>
    <xf numFmtId="5" fontId="43" fillId="0" borderId="14" xfId="90" applyNumberFormat="1" applyFont="1" applyBorder="1"/>
    <xf numFmtId="5" fontId="55" fillId="0" borderId="14" xfId="90" applyNumberFormat="1" applyFont="1" applyBorder="1"/>
    <xf numFmtId="49" fontId="42" fillId="0" borderId="21" xfId="90" applyNumberFormat="1" applyFont="1" applyBorder="1" applyAlignment="1">
      <alignment horizontal="left"/>
    </xf>
    <xf numFmtId="49" fontId="56" fillId="0" borderId="21" xfId="90" applyNumberFormat="1" applyFont="1" applyBorder="1" applyAlignment="1">
      <alignment horizontal="left"/>
    </xf>
    <xf numFmtId="5" fontId="43" fillId="0" borderId="20" xfId="90" applyNumberFormat="1" applyFont="1" applyBorder="1"/>
    <xf numFmtId="5" fontId="42" fillId="0" borderId="20" xfId="80" applyNumberFormat="1" applyFont="1" applyFill="1" applyBorder="1" applyAlignment="1">
      <alignment wrapText="1"/>
    </xf>
    <xf numFmtId="5" fontId="42" fillId="0" borderId="20" xfId="80" applyNumberFormat="1" applyFont="1" applyFill="1" applyBorder="1"/>
    <xf numFmtId="5" fontId="43" fillId="0" borderId="20" xfId="80" applyNumberFormat="1" applyFont="1" applyFill="1" applyBorder="1" applyAlignment="1">
      <alignment wrapText="1"/>
    </xf>
    <xf numFmtId="5" fontId="43" fillId="0" borderId="20" xfId="80" applyNumberFormat="1" applyFont="1" applyFill="1" applyBorder="1" applyAlignment="1">
      <alignment vertical="center"/>
    </xf>
    <xf numFmtId="5" fontId="43" fillId="0" borderId="34" xfId="80" applyNumberFormat="1" applyFont="1" applyFill="1" applyBorder="1" applyAlignment="1">
      <alignment vertical="center"/>
    </xf>
    <xf numFmtId="49" fontId="56" fillId="0" borderId="21" xfId="80" applyNumberFormat="1" applyFont="1" applyFill="1" applyBorder="1" applyAlignment="1">
      <alignment horizontal="left"/>
    </xf>
    <xf numFmtId="5" fontId="56" fillId="0" borderId="20" xfId="80" applyNumberFormat="1" applyFont="1" applyFill="1" applyBorder="1" applyAlignment="1"/>
    <xf numFmtId="5" fontId="56" fillId="0" borderId="34" xfId="80" applyNumberFormat="1" applyFont="1" applyFill="1" applyBorder="1" applyAlignment="1"/>
    <xf numFmtId="49" fontId="42" fillId="0" borderId="21" xfId="43" applyNumberFormat="1" applyFont="1" applyFill="1" applyBorder="1" applyAlignment="1">
      <alignment horizontal="left"/>
    </xf>
    <xf numFmtId="170" fontId="43" fillId="0" borderId="20" xfId="90" applyNumberFormat="1" applyFont="1" applyBorder="1" applyAlignment="1">
      <alignment horizontal="left"/>
    </xf>
    <xf numFmtId="170" fontId="43" fillId="0" borderId="20" xfId="90" applyNumberFormat="1" applyFont="1" applyBorder="1"/>
    <xf numFmtId="5" fontId="43" fillId="0" borderId="20" xfId="80" applyNumberFormat="1" applyFont="1" applyFill="1" applyBorder="1"/>
    <xf numFmtId="49" fontId="42" fillId="0" borderId="22" xfId="90" applyNumberFormat="1" applyFont="1" applyBorder="1" applyAlignment="1">
      <alignment horizontal="left"/>
    </xf>
    <xf numFmtId="170" fontId="42" fillId="0" borderId="42" xfId="90" applyNumberFormat="1" applyFont="1" applyBorder="1"/>
    <xf numFmtId="170" fontId="43" fillId="0" borderId="42" xfId="90" applyNumberFormat="1" applyFont="1" applyBorder="1"/>
    <xf numFmtId="49" fontId="57" fillId="0" borderId="41" xfId="90" applyNumberFormat="1" applyFont="1" applyBorder="1" applyAlignment="1">
      <alignment horizontal="left"/>
    </xf>
    <xf numFmtId="170" fontId="54" fillId="0" borderId="18" xfId="90" applyNumberFormat="1" applyFont="1" applyBorder="1"/>
    <xf numFmtId="169" fontId="42" fillId="0" borderId="18" xfId="43" applyNumberFormat="1" applyFont="1" applyFill="1" applyBorder="1"/>
    <xf numFmtId="171" fontId="42" fillId="0" borderId="18" xfId="80" applyNumberFormat="1" applyFont="1" applyFill="1" applyBorder="1"/>
    <xf numFmtId="170" fontId="54" fillId="0" borderId="19" xfId="90" applyNumberFormat="1" applyFont="1" applyBorder="1"/>
    <xf numFmtId="170" fontId="43" fillId="0" borderId="14" xfId="90" applyNumberFormat="1" applyFont="1" applyBorder="1"/>
    <xf numFmtId="169" fontId="43" fillId="0" borderId="14" xfId="43" applyNumberFormat="1" applyFont="1" applyFill="1" applyBorder="1"/>
    <xf numFmtId="171" fontId="43" fillId="0" borderId="14" xfId="80" applyNumberFormat="1" applyFont="1" applyFill="1" applyBorder="1"/>
    <xf numFmtId="170" fontId="43" fillId="0" borderId="37" xfId="90" applyNumberFormat="1" applyFont="1" applyBorder="1"/>
    <xf numFmtId="5" fontId="55" fillId="0" borderId="20" xfId="43" applyNumberFormat="1" applyFont="1" applyFill="1" applyBorder="1" applyAlignment="1"/>
    <xf numFmtId="5" fontId="55" fillId="0" borderId="34" xfId="43" applyNumberFormat="1" applyFont="1" applyFill="1" applyBorder="1" applyAlignment="1"/>
    <xf numFmtId="0" fontId="55" fillId="0" borderId="20" xfId="90" applyFont="1" applyBorder="1"/>
    <xf numFmtId="170" fontId="55" fillId="0" borderId="34" xfId="90" applyNumberFormat="1" applyFont="1" applyBorder="1"/>
    <xf numFmtId="49" fontId="26" fillId="0" borderId="22" xfId="90" applyNumberFormat="1" applyFont="1" applyBorder="1" applyAlignment="1">
      <alignment horizontal="left" vertical="center" wrapText="1"/>
    </xf>
    <xf numFmtId="169" fontId="42" fillId="0" borderId="42" xfId="43" applyNumberFormat="1" applyFont="1" applyFill="1" applyBorder="1" applyAlignment="1">
      <alignment horizontal="center"/>
    </xf>
    <xf numFmtId="0" fontId="59" fillId="0" borderId="18" xfId="0" applyFont="1" applyBorder="1"/>
    <xf numFmtId="171" fontId="54" fillId="0" borderId="18" xfId="78" applyNumberFormat="1" applyFont="1" applyFill="1" applyBorder="1" applyAlignment="1"/>
    <xf numFmtId="171" fontId="54" fillId="0" borderId="19" xfId="78" applyNumberFormat="1" applyFont="1" applyFill="1" applyBorder="1" applyAlignment="1"/>
    <xf numFmtId="49" fontId="26" fillId="0" borderId="26" xfId="80" applyNumberFormat="1" applyFont="1" applyFill="1" applyBorder="1" applyAlignment="1">
      <alignment horizontal="left"/>
    </xf>
    <xf numFmtId="170" fontId="27" fillId="0" borderId="14" xfId="80" applyNumberFormat="1" applyFont="1" applyFill="1" applyBorder="1" applyAlignment="1">
      <alignment wrapText="1"/>
    </xf>
    <xf numFmtId="169" fontId="42" fillId="0" borderId="14" xfId="43" applyNumberFormat="1" applyFont="1" applyFill="1" applyBorder="1" applyAlignment="1">
      <alignment horizontal="center"/>
    </xf>
    <xf numFmtId="0" fontId="30" fillId="0" borderId="14" xfId="0" applyFont="1" applyBorder="1"/>
    <xf numFmtId="5" fontId="43" fillId="0" borderId="14" xfId="80" applyNumberFormat="1" applyFont="1" applyFill="1" applyBorder="1"/>
    <xf numFmtId="5" fontId="43" fillId="0" borderId="37" xfId="80" applyNumberFormat="1" applyFont="1" applyFill="1" applyBorder="1"/>
    <xf numFmtId="49" fontId="26" fillId="0" borderId="22" xfId="80" applyNumberFormat="1" applyFont="1" applyFill="1" applyBorder="1" applyAlignment="1"/>
    <xf numFmtId="170" fontId="27" fillId="0" borderId="42" xfId="80" applyNumberFormat="1" applyFont="1" applyFill="1" applyBorder="1" applyAlignment="1"/>
    <xf numFmtId="171" fontId="27" fillId="0" borderId="42" xfId="78" applyNumberFormat="1" applyFont="1" applyFill="1" applyBorder="1" applyAlignment="1"/>
    <xf numFmtId="49" fontId="57" fillId="0" borderId="41" xfId="80" applyNumberFormat="1" applyFont="1" applyFill="1" applyBorder="1" applyAlignment="1"/>
    <xf numFmtId="0" fontId="57" fillId="0" borderId="18" xfId="90" applyFont="1" applyBorder="1"/>
    <xf numFmtId="49" fontId="26" fillId="0" borderId="49" xfId="80" applyNumberFormat="1" applyFont="1" applyFill="1" applyBorder="1" applyAlignment="1"/>
    <xf numFmtId="0" fontId="30" fillId="0" borderId="15" xfId="90" applyFont="1" applyBorder="1"/>
    <xf numFmtId="169" fontId="42" fillId="0" borderId="15" xfId="43" applyNumberFormat="1" applyFont="1" applyFill="1" applyBorder="1" applyAlignment="1">
      <alignment horizontal="center"/>
    </xf>
    <xf numFmtId="5" fontId="26" fillId="0" borderId="15" xfId="90" applyNumberFormat="1" applyFont="1" applyBorder="1" applyAlignment="1">
      <alignment horizontal="right" vertical="center" wrapText="1"/>
    </xf>
    <xf numFmtId="171" fontId="27" fillId="0" borderId="15" xfId="78" applyNumberFormat="1" applyFont="1" applyBorder="1"/>
    <xf numFmtId="171" fontId="27" fillId="0" borderId="16" xfId="78" applyNumberFormat="1" applyFont="1" applyBorder="1"/>
    <xf numFmtId="170" fontId="27" fillId="0" borderId="18" xfId="80" applyNumberFormat="1" applyFont="1" applyFill="1" applyBorder="1" applyAlignment="1"/>
    <xf numFmtId="170" fontId="27" fillId="0" borderId="19" xfId="80" applyNumberFormat="1" applyFont="1" applyFill="1" applyBorder="1" applyAlignment="1"/>
    <xf numFmtId="49" fontId="26" fillId="0" borderId="41" xfId="80" applyNumberFormat="1" applyFont="1" applyFill="1" applyBorder="1" applyAlignment="1"/>
    <xf numFmtId="0" fontId="26" fillId="0" borderId="18" xfId="90" applyFont="1" applyBorder="1"/>
    <xf numFmtId="0" fontId="0" fillId="0" borderId="19" xfId="0" applyBorder="1"/>
    <xf numFmtId="0" fontId="0" fillId="30" borderId="18" xfId="0" applyFill="1" applyBorder="1"/>
    <xf numFmtId="0" fontId="34" fillId="30" borderId="18" xfId="0" applyFont="1" applyFill="1" applyBorder="1"/>
    <xf numFmtId="170" fontId="34" fillId="30" borderId="18" xfId="0" applyNumberFormat="1" applyFont="1" applyFill="1" applyBorder="1"/>
    <xf numFmtId="170" fontId="34" fillId="30" borderId="19" xfId="0" applyNumberFormat="1" applyFont="1" applyFill="1" applyBorder="1"/>
    <xf numFmtId="170" fontId="26" fillId="26" borderId="20" xfId="80" applyNumberFormat="1" applyFont="1" applyFill="1" applyBorder="1" applyAlignment="1"/>
    <xf numFmtId="49" fontId="26" fillId="0" borderId="43" xfId="90" applyNumberFormat="1" applyFont="1" applyBorder="1" applyAlignment="1">
      <alignment horizontal="left" vertical="center" wrapText="1"/>
    </xf>
    <xf numFmtId="5" fontId="27" fillId="0" borderId="13" xfId="90" applyNumberFormat="1" applyFont="1" applyBorder="1" applyAlignment="1">
      <alignment horizontal="left" vertical="center" wrapText="1"/>
    </xf>
    <xf numFmtId="0" fontId="0" fillId="0" borderId="13" xfId="0" applyBorder="1"/>
    <xf numFmtId="5" fontId="27" fillId="0" borderId="13" xfId="90" applyNumberFormat="1" applyFont="1" applyBorder="1" applyAlignment="1">
      <alignment vertical="center" wrapText="1"/>
    </xf>
    <xf numFmtId="5" fontId="54" fillId="0" borderId="18" xfId="90" applyNumberFormat="1" applyFont="1" applyBorder="1" applyAlignment="1">
      <alignment horizontal="left" vertical="center" wrapText="1"/>
    </xf>
    <xf numFmtId="5" fontId="57" fillId="0" borderId="18" xfId="90" applyNumberFormat="1" applyFont="1" applyBorder="1" applyAlignment="1">
      <alignment vertical="center" wrapText="1"/>
    </xf>
    <xf numFmtId="0" fontId="54" fillId="0" borderId="18" xfId="90" applyFont="1" applyBorder="1" applyAlignment="1">
      <alignment wrapText="1"/>
    </xf>
    <xf numFmtId="170" fontId="54" fillId="0" borderId="18" xfId="90" applyNumberFormat="1" applyFont="1" applyBorder="1" applyAlignment="1">
      <alignment wrapText="1"/>
    </xf>
    <xf numFmtId="170" fontId="0" fillId="0" borderId="19" xfId="0" applyNumberFormat="1" applyBorder="1" applyAlignment="1">
      <alignment horizontal="center" vertical="center" wrapText="1"/>
    </xf>
    <xf numFmtId="5" fontId="27" fillId="0" borderId="33" xfId="90" applyNumberFormat="1" applyFont="1" applyBorder="1" applyAlignment="1">
      <alignment vertical="center" wrapText="1"/>
    </xf>
    <xf numFmtId="5" fontId="55" fillId="0" borderId="37" xfId="90" applyNumberFormat="1" applyFont="1" applyBorder="1"/>
    <xf numFmtId="0" fontId="0" fillId="0" borderId="34" xfId="0" applyBorder="1"/>
    <xf numFmtId="0" fontId="0" fillId="0" borderId="32" xfId="0" applyBorder="1"/>
    <xf numFmtId="171" fontId="0" fillId="0" borderId="34" xfId="78" applyNumberFormat="1" applyFont="1" applyBorder="1"/>
    <xf numFmtId="171" fontId="0" fillId="0" borderId="32" xfId="78" applyNumberFormat="1" applyFont="1" applyBorder="1"/>
    <xf numFmtId="171" fontId="49" fillId="0" borderId="32" xfId="78" applyNumberFormat="1" applyFont="1" applyBorder="1"/>
    <xf numFmtId="0" fontId="28" fillId="26" borderId="64" xfId="0" applyFont="1" applyFill="1" applyBorder="1" applyAlignment="1">
      <alignment horizontal="center" vertical="center" wrapText="1"/>
    </xf>
    <xf numFmtId="0" fontId="30" fillId="0" borderId="46" xfId="0" applyFont="1" applyBorder="1" applyAlignment="1">
      <alignment horizontal="center" vertical="center" wrapText="1"/>
    </xf>
    <xf numFmtId="0" fontId="30" fillId="26" borderId="0" xfId="0" applyFont="1" applyFill="1" applyAlignment="1">
      <alignment horizontal="right"/>
    </xf>
    <xf numFmtId="168" fontId="28" fillId="0" borderId="24" xfId="50" applyNumberFormat="1" applyFont="1" applyFill="1" applyBorder="1" applyAlignment="1">
      <alignment horizontal="center" vertical="center"/>
    </xf>
    <xf numFmtId="168" fontId="26" fillId="24" borderId="10" xfId="50" applyNumberFormat="1" applyFont="1" applyFill="1" applyBorder="1" applyAlignment="1">
      <alignment horizontal="center" vertical="center"/>
    </xf>
    <xf numFmtId="3" fontId="53" fillId="26" borderId="17" xfId="73" applyNumberFormat="1" applyFont="1" applyFill="1" applyBorder="1" applyAlignment="1">
      <alignment horizontal="right" vertical="center" wrapText="1"/>
    </xf>
    <xf numFmtId="0" fontId="26" fillId="26" borderId="11" xfId="0" applyFont="1" applyFill="1" applyBorder="1" applyAlignment="1">
      <alignment horizontal="right"/>
    </xf>
    <xf numFmtId="0" fontId="28" fillId="26" borderId="18" xfId="0" applyFont="1" applyFill="1" applyBorder="1" applyAlignment="1">
      <alignment horizontal="center" vertical="center" wrapText="1"/>
    </xf>
    <xf numFmtId="0" fontId="28" fillId="26" borderId="19" xfId="0" applyFont="1" applyFill="1" applyBorder="1" applyAlignment="1">
      <alignment horizontal="center" vertical="center" wrapText="1"/>
    </xf>
    <xf numFmtId="0" fontId="28" fillId="24" borderId="0" xfId="0" applyFont="1" applyFill="1" applyAlignment="1">
      <alignment vertical="top" wrapText="1"/>
    </xf>
    <xf numFmtId="3" fontId="28" fillId="24" borderId="0" xfId="0" applyNumberFormat="1" applyFont="1" applyFill="1" applyAlignment="1">
      <alignment horizontal="center" vertical="top"/>
    </xf>
    <xf numFmtId="0" fontId="57" fillId="24" borderId="0" xfId="0" applyFont="1" applyFill="1"/>
    <xf numFmtId="0" fontId="67" fillId="24" borderId="0" xfId="71" applyFont="1" applyFill="1"/>
    <xf numFmtId="0" fontId="26" fillId="24" borderId="67" xfId="0" applyFont="1" applyFill="1" applyBorder="1"/>
    <xf numFmtId="0" fontId="26" fillId="24" borderId="28" xfId="0" applyFont="1" applyFill="1" applyBorder="1"/>
    <xf numFmtId="0" fontId="26" fillId="24" borderId="68" xfId="0" applyFont="1" applyFill="1" applyBorder="1"/>
    <xf numFmtId="0" fontId="26" fillId="24" borderId="27" xfId="0" applyFont="1" applyFill="1" applyBorder="1"/>
    <xf numFmtId="174" fontId="54" fillId="24" borderId="0" xfId="78" applyNumberFormat="1" applyFont="1" applyFill="1" applyBorder="1"/>
    <xf numFmtId="168" fontId="27" fillId="24" borderId="0" xfId="0" applyNumberFormat="1" applyFont="1" applyFill="1"/>
    <xf numFmtId="0" fontId="54" fillId="24" borderId="0" xfId="0" applyFont="1" applyFill="1"/>
    <xf numFmtId="0" fontId="26" fillId="24" borderId="25" xfId="0" applyFont="1" applyFill="1" applyBorder="1"/>
    <xf numFmtId="174" fontId="27" fillId="24" borderId="0" xfId="78" applyNumberFormat="1" applyFont="1" applyFill="1" applyBorder="1"/>
    <xf numFmtId="0" fontId="36" fillId="24" borderId="27" xfId="0" applyFont="1" applyFill="1" applyBorder="1"/>
    <xf numFmtId="168" fontId="36" fillId="24" borderId="0" xfId="0" applyNumberFormat="1" applyFont="1" applyFill="1"/>
    <xf numFmtId="0" fontId="68" fillId="24" borderId="0" xfId="0" applyFont="1" applyFill="1"/>
    <xf numFmtId="0" fontId="36" fillId="24" borderId="25" xfId="0" applyFont="1" applyFill="1" applyBorder="1"/>
    <xf numFmtId="0" fontId="27" fillId="24" borderId="27" xfId="0" applyFont="1" applyFill="1" applyBorder="1"/>
    <xf numFmtId="0" fontId="27" fillId="24" borderId="25" xfId="0" applyFont="1" applyFill="1" applyBorder="1"/>
    <xf numFmtId="168" fontId="30" fillId="0" borderId="14" xfId="41" applyNumberFormat="1" applyFont="1" applyFill="1" applyBorder="1" applyAlignment="1">
      <alignment horizontal="center" vertical="center" wrapText="1"/>
    </xf>
    <xf numFmtId="168" fontId="30" fillId="0" borderId="20" xfId="41" applyNumberFormat="1" applyFont="1" applyFill="1" applyBorder="1" applyAlignment="1">
      <alignment horizontal="center" vertical="center" wrapText="1"/>
    </xf>
    <xf numFmtId="0" fontId="26" fillId="24" borderId="0" xfId="0" applyFont="1" applyFill="1" applyAlignment="1">
      <alignment horizontal="center"/>
    </xf>
    <xf numFmtId="0" fontId="35" fillId="24" borderId="27" xfId="0" applyFont="1" applyFill="1" applyBorder="1"/>
    <xf numFmtId="0" fontId="35" fillId="24" borderId="25" xfId="0" applyFont="1" applyFill="1" applyBorder="1"/>
    <xf numFmtId="0" fontId="35" fillId="24" borderId="35" xfId="0" applyFont="1" applyFill="1" applyBorder="1"/>
    <xf numFmtId="0" fontId="35" fillId="24" borderId="11" xfId="0" applyFont="1" applyFill="1" applyBorder="1"/>
    <xf numFmtId="0" fontId="35" fillId="24" borderId="36" xfId="0" applyFont="1" applyFill="1" applyBorder="1"/>
    <xf numFmtId="0" fontId="34" fillId="26" borderId="27" xfId="0" applyFont="1" applyFill="1" applyBorder="1" applyAlignment="1">
      <alignment horizontal="center"/>
    </xf>
    <xf numFmtId="0" fontId="34" fillId="26" borderId="0" xfId="0" applyFont="1" applyFill="1" applyAlignment="1">
      <alignment horizontal="center"/>
    </xf>
    <xf numFmtId="0" fontId="0" fillId="26" borderId="0" xfId="0" applyFill="1"/>
    <xf numFmtId="0" fontId="34" fillId="26" borderId="0" xfId="0" applyFont="1" applyFill="1"/>
    <xf numFmtId="170" fontId="34" fillId="26" borderId="0" xfId="0" applyNumberFormat="1" applyFont="1" applyFill="1"/>
    <xf numFmtId="170" fontId="34" fillId="26" borderId="25" xfId="0" applyNumberFormat="1" applyFont="1" applyFill="1" applyBorder="1"/>
    <xf numFmtId="0" fontId="30" fillId="0" borderId="26" xfId="0" applyFont="1" applyBorder="1" applyAlignment="1">
      <alignment vertical="center" wrapText="1"/>
    </xf>
    <xf numFmtId="0" fontId="30" fillId="0" borderId="14" xfId="0" applyFont="1" applyBorder="1" applyAlignment="1">
      <alignment vertical="center" wrapText="1"/>
    </xf>
    <xf numFmtId="5" fontId="26" fillId="0" borderId="37" xfId="63" applyNumberFormat="1" applyFont="1" applyBorder="1" applyAlignment="1">
      <alignment horizontal="right" vertical="center" wrapText="1"/>
    </xf>
    <xf numFmtId="0" fontId="30" fillId="0" borderId="21" xfId="0" applyFont="1" applyBorder="1" applyAlignment="1">
      <alignment vertical="center"/>
    </xf>
    <xf numFmtId="5" fontId="26" fillId="0" borderId="34" xfId="63" applyNumberFormat="1" applyFont="1" applyBorder="1" applyAlignment="1">
      <alignment horizontal="right" vertical="center" wrapText="1"/>
    </xf>
    <xf numFmtId="0" fontId="30" fillId="0" borderId="48" xfId="0" applyFont="1" applyBorder="1" applyAlignment="1">
      <alignment vertical="center"/>
    </xf>
    <xf numFmtId="5" fontId="26" fillId="0" borderId="12" xfId="63" applyNumberFormat="1" applyFont="1" applyBorder="1" applyAlignment="1">
      <alignment horizontal="right" vertical="center" wrapText="1"/>
    </xf>
    <xf numFmtId="170" fontId="27" fillId="0" borderId="19" xfId="80" applyNumberFormat="1" applyFont="1" applyBorder="1" applyAlignment="1"/>
    <xf numFmtId="0" fontId="54" fillId="0" borderId="19" xfId="63" applyFont="1" applyBorder="1" applyAlignment="1">
      <alignment horizontal="center" wrapText="1"/>
    </xf>
    <xf numFmtId="0" fontId="54" fillId="0" borderId="18" xfId="63" applyFont="1" applyBorder="1" applyAlignment="1">
      <alignment wrapText="1"/>
    </xf>
    <xf numFmtId="5" fontId="0" fillId="0" borderId="0" xfId="0" applyNumberFormat="1"/>
    <xf numFmtId="168" fontId="30" fillId="0" borderId="37" xfId="41" applyNumberFormat="1" applyFont="1" applyFill="1" applyBorder="1" applyAlignment="1">
      <alignment horizontal="center" vertical="center" wrapText="1"/>
    </xf>
    <xf numFmtId="0" fontId="26" fillId="26" borderId="0" xfId="0" applyFont="1" applyFill="1" applyAlignment="1">
      <alignment horizontal="right"/>
    </xf>
    <xf numFmtId="168" fontId="26" fillId="24" borderId="10" xfId="41" applyNumberFormat="1" applyFont="1" applyFill="1" applyBorder="1" applyAlignment="1">
      <alignment horizontal="center"/>
    </xf>
    <xf numFmtId="168" fontId="27" fillId="24" borderId="10" xfId="41" applyNumberFormat="1" applyFont="1" applyFill="1" applyBorder="1" applyAlignment="1">
      <alignment horizontal="center"/>
    </xf>
    <xf numFmtId="170" fontId="0" fillId="26" borderId="0" xfId="0" applyNumberFormat="1" applyFill="1"/>
    <xf numFmtId="0" fontId="30" fillId="0" borderId="18" xfId="0" quotePrefix="1" applyFont="1" applyBorder="1" applyAlignment="1">
      <alignment horizontal="center" vertical="center"/>
    </xf>
    <xf numFmtId="0" fontId="62" fillId="0" borderId="18" xfId="0" applyFont="1" applyBorder="1" applyAlignment="1">
      <alignment horizontal="center" vertical="center" wrapText="1"/>
    </xf>
    <xf numFmtId="0" fontId="30" fillId="0" borderId="26" xfId="0" quotePrefix="1" applyFont="1" applyBorder="1" applyAlignment="1">
      <alignment horizontal="center" vertical="center"/>
    </xf>
    <xf numFmtId="0" fontId="30" fillId="0" borderId="49" xfId="0" quotePrefix="1" applyFont="1" applyBorder="1" applyAlignment="1">
      <alignment horizontal="center" vertical="center"/>
    </xf>
    <xf numFmtId="0" fontId="30" fillId="0" borderId="15" xfId="0" quotePrefix="1" applyFont="1" applyBorder="1" applyAlignment="1">
      <alignment horizontal="center" vertical="center"/>
    </xf>
    <xf numFmtId="168" fontId="30" fillId="26" borderId="23" xfId="41" applyNumberFormat="1" applyFont="1" applyFill="1" applyBorder="1" applyAlignment="1">
      <alignment horizontal="center" vertical="center" wrapText="1"/>
    </xf>
    <xf numFmtId="168" fontId="31" fillId="26" borderId="23" xfId="41" applyNumberFormat="1" applyFont="1" applyFill="1" applyBorder="1" applyAlignment="1">
      <alignment horizontal="center" vertical="center" wrapText="1"/>
    </xf>
    <xf numFmtId="168" fontId="31" fillId="26" borderId="24" xfId="41" applyNumberFormat="1" applyFont="1" applyFill="1" applyBorder="1" applyAlignment="1">
      <alignment horizontal="center" vertical="center" wrapText="1"/>
    </xf>
    <xf numFmtId="168" fontId="32" fillId="26" borderId="23" xfId="41" applyNumberFormat="1" applyFont="1" applyFill="1" applyBorder="1" applyAlignment="1">
      <alignment horizontal="center" vertical="center" wrapText="1"/>
    </xf>
    <xf numFmtId="0" fontId="30" fillId="0" borderId="18" xfId="0" applyFont="1" applyBorder="1" applyAlignment="1">
      <alignment vertical="center"/>
    </xf>
    <xf numFmtId="0" fontId="30" fillId="0" borderId="18" xfId="0" applyFont="1" applyBorder="1" applyAlignment="1">
      <alignment vertical="center" wrapText="1"/>
    </xf>
    <xf numFmtId="5" fontId="55" fillId="0" borderId="34" xfId="80" applyNumberFormat="1" applyFont="1" applyFill="1" applyBorder="1" applyAlignment="1"/>
    <xf numFmtId="5" fontId="0" fillId="0" borderId="34" xfId="0" applyNumberFormat="1" applyBorder="1"/>
    <xf numFmtId="168" fontId="30" fillId="0" borderId="12" xfId="41" applyNumberFormat="1" applyFont="1" applyFill="1" applyBorder="1" applyAlignment="1">
      <alignment horizontal="center" vertical="center" wrapText="1"/>
    </xf>
    <xf numFmtId="168" fontId="31" fillId="0" borderId="19" xfId="0" applyNumberFormat="1" applyFont="1" applyBorder="1" applyAlignment="1">
      <alignment vertical="center"/>
    </xf>
    <xf numFmtId="168" fontId="30" fillId="0" borderId="37" xfId="41" applyNumberFormat="1" applyFont="1" applyFill="1" applyBorder="1" applyAlignment="1">
      <alignment vertical="center" wrapText="1"/>
    </xf>
    <xf numFmtId="168" fontId="30" fillId="0" borderId="34" xfId="41" applyNumberFormat="1" applyFont="1" applyFill="1" applyBorder="1" applyAlignment="1">
      <alignment vertical="center" wrapText="1"/>
    </xf>
    <xf numFmtId="0" fontId="30" fillId="26" borderId="26" xfId="0" applyFont="1" applyFill="1" applyBorder="1" applyAlignment="1">
      <alignment horizontal="center" vertical="center"/>
    </xf>
    <xf numFmtId="0" fontId="30" fillId="26" borderId="14" xfId="0" quotePrefix="1" applyFont="1" applyFill="1" applyBorder="1" applyAlignment="1">
      <alignment horizontal="center" vertical="center"/>
    </xf>
    <xf numFmtId="0" fontId="30" fillId="26" borderId="14" xfId="0" applyFont="1" applyFill="1" applyBorder="1" applyAlignment="1">
      <alignment horizontal="center" vertical="center"/>
    </xf>
    <xf numFmtId="0" fontId="30" fillId="26" borderId="14" xfId="0" applyFont="1" applyFill="1" applyBorder="1" applyAlignment="1">
      <alignment horizontal="left" vertical="center" wrapText="1"/>
    </xf>
    <xf numFmtId="0" fontId="30" fillId="26" borderId="21" xfId="0" applyFont="1" applyFill="1" applyBorder="1" applyAlignment="1">
      <alignment horizontal="center" vertical="center"/>
    </xf>
    <xf numFmtId="0" fontId="30" fillId="26" borderId="20" xfId="0" quotePrefix="1" applyFont="1" applyFill="1" applyBorder="1" applyAlignment="1">
      <alignment horizontal="center" vertical="center"/>
    </xf>
    <xf numFmtId="0" fontId="30" fillId="26" borderId="20" xfId="0" applyFont="1" applyFill="1" applyBorder="1" applyAlignment="1">
      <alignment horizontal="center" vertical="center"/>
    </xf>
    <xf numFmtId="168" fontId="30" fillId="26" borderId="20" xfId="41" applyNumberFormat="1" applyFont="1" applyFill="1" applyBorder="1" applyAlignment="1">
      <alignment horizontal="center" vertical="center" wrapText="1"/>
    </xf>
    <xf numFmtId="168" fontId="29" fillId="0" borderId="55" xfId="41" applyNumberFormat="1" applyFont="1" applyBorder="1" applyAlignment="1">
      <alignment vertical="center"/>
    </xf>
    <xf numFmtId="168" fontId="29" fillId="0" borderId="19" xfId="41" applyNumberFormat="1" applyFont="1" applyBorder="1" applyAlignment="1">
      <alignment vertical="center"/>
    </xf>
    <xf numFmtId="49" fontId="30" fillId="0" borderId="14" xfId="0" applyNumberFormat="1" applyFont="1" applyBorder="1" applyAlignment="1">
      <alignment horizontal="center" vertical="center"/>
    </xf>
    <xf numFmtId="168" fontId="63" fillId="26" borderId="14" xfId="41" applyNumberFormat="1" applyFont="1" applyFill="1" applyBorder="1" applyAlignment="1">
      <alignment horizontal="center" vertical="center"/>
    </xf>
    <xf numFmtId="168" fontId="63" fillId="26" borderId="17" xfId="41" applyNumberFormat="1" applyFont="1" applyFill="1" applyBorder="1" applyAlignment="1">
      <alignment horizontal="center" vertical="center"/>
    </xf>
    <xf numFmtId="49" fontId="30" fillId="0" borderId="14" xfId="0" quotePrefix="1" applyNumberFormat="1" applyFont="1" applyBorder="1" applyAlignment="1">
      <alignment vertical="center"/>
    </xf>
    <xf numFmtId="0" fontId="30" fillId="26" borderId="19" xfId="0" applyFont="1" applyFill="1" applyBorder="1" applyAlignment="1">
      <alignment horizontal="center" vertical="center" wrapText="1"/>
    </xf>
    <xf numFmtId="0" fontId="63" fillId="0" borderId="18" xfId="0" applyFont="1" applyBorder="1" applyAlignment="1">
      <alignment horizontal="center" vertical="center" wrapText="1"/>
    </xf>
    <xf numFmtId="0" fontId="30" fillId="24" borderId="20" xfId="0" applyFont="1" applyFill="1" applyBorder="1"/>
    <xf numFmtId="49" fontId="30" fillId="0" borderId="18" xfId="0" quotePrefix="1" applyNumberFormat="1" applyFont="1" applyBorder="1" applyAlignment="1">
      <alignment horizontal="center" vertical="center"/>
    </xf>
    <xf numFmtId="0" fontId="30" fillId="0" borderId="42" xfId="0" applyFont="1" applyBorder="1" applyAlignment="1">
      <alignment horizontal="left" vertical="center" wrapText="1"/>
    </xf>
    <xf numFmtId="0" fontId="30" fillId="0" borderId="13" xfId="0" applyFont="1" applyBorder="1" applyAlignment="1">
      <alignment horizontal="left" vertical="center" wrapText="1"/>
    </xf>
    <xf numFmtId="0" fontId="26" fillId="26" borderId="10" xfId="0" applyFont="1" applyFill="1" applyBorder="1" applyAlignment="1">
      <alignment horizontal="center" vertical="center" wrapText="1"/>
    </xf>
    <xf numFmtId="0" fontId="30" fillId="0" borderId="19"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15" xfId="0" applyFont="1" applyBorder="1" applyAlignment="1">
      <alignment horizontal="center" vertical="center" textRotation="90" wrapText="1"/>
    </xf>
    <xf numFmtId="0" fontId="30" fillId="0" borderId="20" xfId="0" applyFont="1" applyBorder="1" applyAlignment="1">
      <alignment horizontal="left" vertical="center" wrapText="1"/>
    </xf>
    <xf numFmtId="0" fontId="63" fillId="0" borderId="14" xfId="0" applyFont="1" applyBorder="1" applyAlignment="1">
      <alignment horizontal="center" vertical="center" wrapText="1"/>
    </xf>
    <xf numFmtId="0" fontId="63" fillId="0" borderId="20" xfId="0" applyFont="1" applyBorder="1" applyAlignment="1">
      <alignment horizontal="center" vertical="center" wrapText="1"/>
    </xf>
    <xf numFmtId="168" fontId="63" fillId="26" borderId="14" xfId="41" applyNumberFormat="1" applyFont="1" applyFill="1" applyBorder="1" applyAlignment="1">
      <alignment vertical="center"/>
    </xf>
    <xf numFmtId="0" fontId="31" fillId="24" borderId="18" xfId="0" applyFont="1" applyFill="1" applyBorder="1" applyAlignment="1">
      <alignment vertical="center"/>
    </xf>
    <xf numFmtId="0" fontId="31" fillId="24" borderId="19" xfId="0" applyFont="1" applyFill="1" applyBorder="1" applyAlignment="1">
      <alignment vertical="center"/>
    </xf>
    <xf numFmtId="168" fontId="30" fillId="0" borderId="12" xfId="41" applyNumberFormat="1" applyFont="1" applyFill="1" applyBorder="1" applyAlignment="1">
      <alignment vertical="center" wrapText="1"/>
    </xf>
    <xf numFmtId="5" fontId="27" fillId="0" borderId="41" xfId="90" applyNumberFormat="1" applyFont="1" applyBorder="1" applyAlignment="1">
      <alignment vertical="center" wrapText="1"/>
    </xf>
    <xf numFmtId="5" fontId="27" fillId="0" borderId="18" xfId="90" applyNumberFormat="1" applyFont="1" applyBorder="1" applyAlignment="1">
      <alignment vertical="center" wrapText="1"/>
    </xf>
    <xf numFmtId="5" fontId="27" fillId="0" borderId="19" xfId="90" applyNumberFormat="1" applyFont="1" applyBorder="1" applyAlignment="1">
      <alignment vertical="center" wrapText="1"/>
    </xf>
    <xf numFmtId="0" fontId="26" fillId="0" borderId="41" xfId="90" applyFont="1" applyBorder="1"/>
    <xf numFmtId="5" fontId="26" fillId="0" borderId="14" xfId="63" applyNumberFormat="1" applyFont="1" applyBorder="1" applyAlignment="1">
      <alignment horizontal="right" vertical="center" wrapText="1"/>
    </xf>
    <xf numFmtId="168" fontId="30" fillId="0" borderId="55" xfId="41" applyNumberFormat="1" applyFont="1" applyFill="1" applyBorder="1" applyAlignment="1">
      <alignment vertical="center"/>
    </xf>
    <xf numFmtId="0" fontId="0" fillId="0" borderId="27" xfId="0" applyBorder="1"/>
    <xf numFmtId="0" fontId="0" fillId="0" borderId="25" xfId="0" applyBorder="1"/>
    <xf numFmtId="0" fontId="4" fillId="0" borderId="41" xfId="63" applyFont="1" applyBorder="1" applyAlignment="1">
      <alignment horizontal="center" vertical="center" wrapText="1"/>
    </xf>
    <xf numFmtId="0" fontId="4" fillId="0" borderId="18" xfId="63" applyFont="1" applyBorder="1" applyAlignment="1">
      <alignment horizontal="center" vertical="center" wrapText="1"/>
    </xf>
    <xf numFmtId="0" fontId="4" fillId="0" borderId="19" xfId="63" applyFont="1" applyBorder="1" applyAlignment="1">
      <alignment horizontal="center" vertical="center" wrapText="1"/>
    </xf>
    <xf numFmtId="0" fontId="42" fillId="24" borderId="48" xfId="63" applyFont="1" applyFill="1" applyBorder="1" applyAlignment="1">
      <alignment horizontal="center" wrapText="1"/>
    </xf>
    <xf numFmtId="0" fontId="42" fillId="24" borderId="17" xfId="63" applyFont="1" applyFill="1" applyBorder="1" applyAlignment="1">
      <alignment horizontal="left" vertical="center"/>
    </xf>
    <xf numFmtId="0" fontId="42" fillId="24" borderId="17" xfId="63" applyFont="1" applyFill="1" applyBorder="1" applyAlignment="1">
      <alignment horizontal="center" vertical="center" wrapText="1"/>
    </xf>
    <xf numFmtId="170" fontId="27" fillId="0" borderId="24" xfId="80" applyNumberFormat="1" applyFont="1" applyBorder="1" applyAlignment="1"/>
    <xf numFmtId="5" fontId="26" fillId="0" borderId="14" xfId="90" applyNumberFormat="1" applyFont="1" applyBorder="1" applyAlignment="1">
      <alignment horizontal="left" vertical="center" wrapText="1"/>
    </xf>
    <xf numFmtId="0" fontId="66" fillId="0" borderId="14" xfId="90" applyFont="1" applyBorder="1" applyAlignment="1">
      <alignment horizontal="center" vertical="center" wrapText="1"/>
    </xf>
    <xf numFmtId="5" fontId="26" fillId="0" borderId="37" xfId="90" applyNumberFormat="1" applyFont="1" applyBorder="1" applyAlignment="1">
      <alignment horizontal="right" vertical="center" wrapText="1"/>
    </xf>
    <xf numFmtId="0" fontId="66" fillId="0" borderId="17" xfId="90" applyFont="1" applyBorder="1" applyAlignment="1">
      <alignment horizontal="center" vertical="center" wrapText="1"/>
    </xf>
    <xf numFmtId="5" fontId="27" fillId="0" borderId="12" xfId="90" applyNumberFormat="1" applyFont="1" applyBorder="1" applyAlignment="1">
      <alignment horizontal="right" vertical="center" wrapText="1"/>
    </xf>
    <xf numFmtId="0" fontId="27" fillId="0" borderId="17" xfId="90" applyFont="1" applyBorder="1"/>
    <xf numFmtId="49" fontId="26" fillId="0" borderId="48" xfId="90" applyNumberFormat="1" applyFont="1" applyBorder="1" applyAlignment="1">
      <alignment horizontal="left" vertical="center" wrapText="1"/>
    </xf>
    <xf numFmtId="0" fontId="27" fillId="0" borderId="17" xfId="90" applyFont="1" applyBorder="1" applyAlignment="1">
      <alignment horizontal="center" wrapText="1"/>
    </xf>
    <xf numFmtId="0" fontId="30" fillId="24" borderId="17" xfId="0" applyFont="1" applyFill="1" applyBorder="1"/>
    <xf numFmtId="168" fontId="28" fillId="26" borderId="10" xfId="50" applyNumberFormat="1" applyFont="1" applyFill="1" applyBorder="1" applyAlignment="1">
      <alignment horizontal="center" vertical="center" wrapText="1"/>
    </xf>
    <xf numFmtId="0" fontId="28" fillId="26" borderId="10" xfId="0" applyFont="1" applyFill="1" applyBorder="1" applyAlignment="1">
      <alignment horizontal="center" vertical="center" wrapText="1"/>
    </xf>
    <xf numFmtId="168" fontId="28" fillId="24" borderId="56" xfId="49" applyNumberFormat="1" applyFont="1" applyFill="1" applyBorder="1"/>
    <xf numFmtId="0" fontId="33" fillId="24" borderId="67" xfId="72" applyFont="1" applyFill="1" applyBorder="1"/>
    <xf numFmtId="0" fontId="33" fillId="24" borderId="28" xfId="72" applyFont="1" applyFill="1" applyBorder="1"/>
    <xf numFmtId="0" fontId="33" fillId="24" borderId="28" xfId="72" applyFont="1" applyFill="1" applyBorder="1" applyAlignment="1">
      <alignment vertical="center"/>
    </xf>
    <xf numFmtId="0" fontId="33" fillId="0" borderId="0" xfId="0" applyFont="1"/>
    <xf numFmtId="168" fontId="31" fillId="24" borderId="14" xfId="0" applyNumberFormat="1" applyFont="1" applyFill="1" applyBorder="1" applyAlignment="1">
      <alignment vertical="center"/>
    </xf>
    <xf numFmtId="168" fontId="31" fillId="24" borderId="20" xfId="0" applyNumberFormat="1" applyFont="1" applyFill="1" applyBorder="1" applyAlignment="1">
      <alignment vertical="center"/>
    </xf>
    <xf numFmtId="168" fontId="30" fillId="0" borderId="15" xfId="41" applyNumberFormat="1" applyFont="1" applyFill="1" applyBorder="1" applyAlignment="1">
      <alignment horizontal="center" vertical="center" wrapText="1"/>
    </xf>
    <xf numFmtId="168" fontId="30" fillId="0" borderId="14" xfId="41" applyNumberFormat="1" applyFont="1" applyFill="1" applyBorder="1" applyAlignment="1">
      <alignment vertical="center" wrapText="1"/>
    </xf>
    <xf numFmtId="168" fontId="30" fillId="0" borderId="20" xfId="41" applyNumberFormat="1" applyFont="1" applyFill="1" applyBorder="1" applyAlignment="1">
      <alignment vertical="center" wrapText="1"/>
    </xf>
    <xf numFmtId="168" fontId="30" fillId="0" borderId="17" xfId="41" applyNumberFormat="1" applyFont="1" applyFill="1" applyBorder="1" applyAlignment="1">
      <alignment vertical="center" wrapText="1"/>
    </xf>
    <xf numFmtId="168" fontId="30" fillId="0" borderId="62" xfId="41" applyNumberFormat="1" applyFont="1" applyBorder="1" applyAlignment="1">
      <alignment vertical="center"/>
    </xf>
    <xf numFmtId="168" fontId="30" fillId="26" borderId="20" xfId="41" applyNumberFormat="1" applyFont="1" applyFill="1" applyBorder="1" applyAlignment="1">
      <alignment vertical="center" wrapText="1"/>
    </xf>
    <xf numFmtId="0" fontId="28" fillId="0" borderId="0" xfId="0" applyFont="1" applyAlignment="1">
      <alignment horizontal="center" vertical="center" wrapText="1"/>
    </xf>
    <xf numFmtId="168" fontId="28" fillId="24" borderId="0" xfId="49" applyNumberFormat="1" applyFont="1" applyFill="1" applyBorder="1" applyAlignment="1">
      <alignment horizontal="center" vertical="center" wrapText="1"/>
    </xf>
    <xf numFmtId="49" fontId="26" fillId="0" borderId="0" xfId="0" applyNumberFormat="1" applyFont="1" applyAlignment="1">
      <alignment horizontal="center" vertical="center" wrapText="1"/>
    </xf>
    <xf numFmtId="0" fontId="26" fillId="0" borderId="0" xfId="0" applyFont="1" applyAlignment="1">
      <alignment horizontal="center" vertical="center"/>
    </xf>
    <xf numFmtId="168" fontId="27" fillId="0" borderId="0" xfId="41" applyNumberFormat="1" applyFont="1" applyFill="1" applyBorder="1" applyAlignment="1">
      <alignment horizontal="right" vertical="center"/>
    </xf>
    <xf numFmtId="168" fontId="35" fillId="0" borderId="0" xfId="41" applyNumberFormat="1" applyFont="1" applyFill="1" applyBorder="1" applyAlignment="1">
      <alignment horizontal="right" vertical="center"/>
    </xf>
    <xf numFmtId="168" fontId="27" fillId="0" borderId="0" xfId="41" applyNumberFormat="1" applyFont="1" applyFill="1" applyBorder="1"/>
    <xf numFmtId="168" fontId="26" fillId="0" borderId="0" xfId="41" applyNumberFormat="1" applyFont="1" applyFill="1" applyBorder="1"/>
    <xf numFmtId="168" fontId="35" fillId="0" borderId="0" xfId="41" applyNumberFormat="1" applyFont="1" applyFill="1" applyBorder="1"/>
    <xf numFmtId="3" fontId="27" fillId="0" borderId="0" xfId="0" applyNumberFormat="1" applyFont="1" applyAlignment="1">
      <alignment horizontal="center" vertical="center"/>
    </xf>
    <xf numFmtId="3" fontId="27" fillId="0" borderId="0" xfId="0" applyNumberFormat="1" applyFont="1" applyAlignment="1">
      <alignment horizontal="right" vertical="center"/>
    </xf>
    <xf numFmtId="168" fontId="72" fillId="0" borderId="10" xfId="41" applyNumberFormat="1" applyFont="1" applyFill="1" applyBorder="1"/>
    <xf numFmtId="168" fontId="73" fillId="0" borderId="10" xfId="41" applyNumberFormat="1" applyFont="1" applyFill="1" applyBorder="1" applyAlignment="1">
      <alignment horizontal="right" vertical="center"/>
    </xf>
    <xf numFmtId="168" fontId="73" fillId="26" borderId="10" xfId="41" applyNumberFormat="1" applyFont="1" applyFill="1" applyBorder="1" applyAlignment="1">
      <alignment horizontal="right" vertical="center"/>
    </xf>
    <xf numFmtId="168" fontId="73" fillId="0" borderId="10" xfId="41" applyNumberFormat="1" applyFont="1" applyFill="1" applyBorder="1"/>
    <xf numFmtId="0" fontId="73" fillId="26" borderId="0" xfId="0" applyFont="1" applyFill="1"/>
    <xf numFmtId="168" fontId="72" fillId="26" borderId="0" xfId="0" applyNumberFormat="1" applyFont="1" applyFill="1"/>
    <xf numFmtId="168" fontId="72" fillId="0" borderId="0" xfId="41" applyNumberFormat="1" applyFont="1" applyFill="1" applyBorder="1"/>
    <xf numFmtId="168" fontId="73" fillId="26" borderId="0" xfId="0" applyNumberFormat="1" applyFont="1" applyFill="1"/>
    <xf numFmtId="168" fontId="28" fillId="0" borderId="10" xfId="41" applyNumberFormat="1" applyFont="1" applyFill="1" applyBorder="1"/>
    <xf numFmtId="168" fontId="28" fillId="0" borderId="0" xfId="41" applyNumberFormat="1" applyFont="1" applyFill="1" applyBorder="1"/>
    <xf numFmtId="0" fontId="27" fillId="0" borderId="10" xfId="0" applyFont="1" applyBorder="1" applyAlignment="1">
      <alignment horizontal="left" vertical="center"/>
    </xf>
    <xf numFmtId="168" fontId="28" fillId="24" borderId="10" xfId="41" applyNumberFormat="1" applyFont="1" applyFill="1" applyBorder="1"/>
    <xf numFmtId="0" fontId="29" fillId="26" borderId="10" xfId="0" applyFont="1" applyFill="1" applyBorder="1" applyAlignment="1">
      <alignment horizontal="center" vertical="center"/>
    </xf>
    <xf numFmtId="0" fontId="28" fillId="0" borderId="10" xfId="0" applyFont="1" applyBorder="1" applyAlignment="1">
      <alignment horizontal="center" vertical="center" wrapText="1"/>
    </xf>
    <xf numFmtId="0" fontId="29" fillId="24" borderId="10" xfId="71" applyFont="1" applyFill="1" applyBorder="1" applyAlignment="1">
      <alignment horizontal="center" vertical="center"/>
    </xf>
    <xf numFmtId="0" fontId="29" fillId="24" borderId="10" xfId="72" applyFont="1" applyFill="1" applyBorder="1" applyAlignment="1">
      <alignment horizontal="center" vertical="center"/>
    </xf>
    <xf numFmtId="0" fontId="30" fillId="24" borderId="55" xfId="0" applyFont="1" applyFill="1" applyBorder="1" applyAlignment="1">
      <alignment horizontal="center" vertical="center" wrapText="1"/>
    </xf>
    <xf numFmtId="0" fontId="31" fillId="0" borderId="18" xfId="0" applyFont="1" applyBorder="1" applyAlignment="1">
      <alignment horizontal="center" vertical="center" wrapText="1"/>
    </xf>
    <xf numFmtId="0" fontId="30" fillId="26" borderId="46" xfId="0" applyFont="1" applyFill="1" applyBorder="1" applyAlignment="1">
      <alignment horizontal="center" vertical="center"/>
    </xf>
    <xf numFmtId="0" fontId="30" fillId="0" borderId="41" xfId="0" applyFont="1" applyBorder="1" applyAlignment="1">
      <alignment horizontal="center" vertical="center"/>
    </xf>
    <xf numFmtId="0" fontId="30" fillId="0" borderId="18" xfId="0" applyFont="1" applyBorder="1" applyAlignment="1">
      <alignment horizontal="center" vertical="center"/>
    </xf>
    <xf numFmtId="0" fontId="31" fillId="0" borderId="18" xfId="0" applyFont="1" applyBorder="1" applyAlignment="1">
      <alignment horizontal="center" vertical="center"/>
    </xf>
    <xf numFmtId="0" fontId="31" fillId="24" borderId="18" xfId="0" applyFont="1" applyFill="1" applyBorder="1" applyAlignment="1">
      <alignment horizontal="center" vertical="center"/>
    </xf>
    <xf numFmtId="0" fontId="54" fillId="0" borderId="18" xfId="63" applyFont="1" applyBorder="1" applyAlignment="1">
      <alignment horizontal="center" wrapText="1"/>
    </xf>
    <xf numFmtId="168" fontId="75" fillId="0" borderId="10" xfId="41" applyNumberFormat="1" applyFont="1" applyFill="1" applyBorder="1"/>
    <xf numFmtId="168" fontId="28" fillId="26" borderId="10" xfId="41" applyNumberFormat="1" applyFont="1" applyFill="1" applyBorder="1"/>
    <xf numFmtId="168" fontId="28" fillId="26" borderId="0" xfId="49" applyNumberFormat="1" applyFont="1" applyFill="1" applyAlignment="1">
      <alignment horizontal="right"/>
    </xf>
    <xf numFmtId="168" fontId="28" fillId="26" borderId="10" xfId="49" applyNumberFormat="1" applyFont="1" applyFill="1" applyBorder="1"/>
    <xf numFmtId="168" fontId="29" fillId="26" borderId="10" xfId="49" applyNumberFormat="1" applyFont="1" applyFill="1" applyBorder="1"/>
    <xf numFmtId="168" fontId="28" fillId="26" borderId="10" xfId="49" applyNumberFormat="1" applyFont="1" applyFill="1" applyBorder="1" applyAlignment="1">
      <alignment vertical="center"/>
    </xf>
    <xf numFmtId="168" fontId="25" fillId="26" borderId="0" xfId="49" applyNumberFormat="1" applyFont="1" applyFill="1"/>
    <xf numFmtId="0" fontId="76" fillId="24" borderId="18" xfId="0" applyFont="1" applyFill="1" applyBorder="1" applyAlignment="1">
      <alignment horizontal="center" vertical="center" wrapText="1"/>
    </xf>
    <xf numFmtId="0" fontId="63" fillId="24" borderId="20" xfId="0" applyFont="1" applyFill="1" applyBorder="1" applyAlignment="1">
      <alignment horizontal="center" vertical="center" wrapText="1"/>
    </xf>
    <xf numFmtId="0" fontId="63" fillId="24" borderId="20" xfId="0" applyFont="1" applyFill="1" applyBorder="1" applyAlignment="1">
      <alignment horizontal="left" vertical="center" wrapText="1"/>
    </xf>
    <xf numFmtId="0" fontId="70" fillId="24" borderId="20" xfId="0" applyFont="1" applyFill="1" applyBorder="1" applyAlignment="1">
      <alignment horizontal="center" vertical="center" wrapText="1"/>
    </xf>
    <xf numFmtId="0" fontId="30" fillId="24" borderId="20" xfId="0" applyFont="1" applyFill="1" applyBorder="1" applyAlignment="1">
      <alignment horizontal="center" vertical="center" wrapText="1"/>
    </xf>
    <xf numFmtId="168" fontId="31" fillId="26" borderId="69" xfId="0" applyNumberFormat="1" applyFont="1" applyFill="1" applyBorder="1" applyAlignment="1">
      <alignment horizontal="center" vertical="center" wrapText="1"/>
    </xf>
    <xf numFmtId="168" fontId="30" fillId="26" borderId="14" xfId="41" applyNumberFormat="1" applyFont="1" applyFill="1" applyBorder="1" applyAlignment="1">
      <alignment horizontal="center" vertical="center" wrapText="1"/>
    </xf>
    <xf numFmtId="168" fontId="30" fillId="26" borderId="14" xfId="41" applyNumberFormat="1" applyFont="1" applyFill="1" applyBorder="1" applyAlignment="1">
      <alignment vertical="center" wrapText="1"/>
    </xf>
    <xf numFmtId="168" fontId="30" fillId="0" borderId="62" xfId="41" applyNumberFormat="1" applyFont="1" applyFill="1" applyBorder="1" applyAlignment="1">
      <alignment horizontal="left" vertical="center" wrapText="1"/>
    </xf>
    <xf numFmtId="168" fontId="30" fillId="26" borderId="44" xfId="41" applyNumberFormat="1" applyFont="1" applyFill="1" applyBorder="1" applyAlignment="1">
      <alignment horizontal="left" vertical="center" wrapText="1"/>
    </xf>
    <xf numFmtId="168" fontId="31" fillId="26" borderId="10" xfId="41" applyNumberFormat="1" applyFont="1" applyFill="1" applyBorder="1" applyAlignment="1">
      <alignment horizontal="center" vertical="center"/>
    </xf>
    <xf numFmtId="168" fontId="31" fillId="24" borderId="10" xfId="41" applyNumberFormat="1" applyFont="1" applyFill="1" applyBorder="1" applyAlignment="1">
      <alignment vertical="center"/>
    </xf>
    <xf numFmtId="0" fontId="30" fillId="26" borderId="45" xfId="0" applyFont="1" applyFill="1" applyBorder="1" applyAlignment="1">
      <alignment horizontal="center" vertical="center"/>
    </xf>
    <xf numFmtId="49" fontId="30" fillId="26" borderId="46" xfId="0" applyNumberFormat="1" applyFont="1" applyFill="1" applyBorder="1" applyAlignment="1">
      <alignment horizontal="center" vertical="center"/>
    </xf>
    <xf numFmtId="0" fontId="30" fillId="26" borderId="46" xfId="0" applyFont="1" applyFill="1" applyBorder="1" applyAlignment="1">
      <alignment vertical="center"/>
    </xf>
    <xf numFmtId="168" fontId="30" fillId="26" borderId="46" xfId="41" applyNumberFormat="1" applyFont="1" applyFill="1" applyBorder="1" applyAlignment="1">
      <alignment horizontal="center" vertical="center" wrapText="1"/>
    </xf>
    <xf numFmtId="0" fontId="30" fillId="26" borderId="46" xfId="0" applyFont="1" applyFill="1" applyBorder="1"/>
    <xf numFmtId="168" fontId="30" fillId="26" borderId="70" xfId="41" applyNumberFormat="1" applyFont="1" applyFill="1" applyBorder="1" applyAlignment="1">
      <alignment horizontal="center" vertical="center" wrapText="1"/>
    </xf>
    <xf numFmtId="0" fontId="30" fillId="26" borderId="49" xfId="0" applyFont="1" applyFill="1" applyBorder="1" applyAlignment="1">
      <alignment horizontal="center" vertical="center"/>
    </xf>
    <xf numFmtId="49" fontId="30" fillId="26" borderId="15" xfId="0" applyNumberFormat="1" applyFont="1" applyFill="1" applyBorder="1" applyAlignment="1">
      <alignment horizontal="center" vertical="center"/>
    </xf>
    <xf numFmtId="0" fontId="30" fillId="26" borderId="15" xfId="0" applyFont="1" applyFill="1" applyBorder="1" applyAlignment="1">
      <alignment horizontal="center" vertical="center"/>
    </xf>
    <xf numFmtId="0" fontId="30" fillId="26" borderId="15" xfId="0" applyFont="1" applyFill="1" applyBorder="1" applyAlignment="1">
      <alignment vertical="center"/>
    </xf>
    <xf numFmtId="168" fontId="30" fillId="26" borderId="15" xfId="41" applyNumberFormat="1" applyFont="1" applyFill="1" applyBorder="1" applyAlignment="1">
      <alignment horizontal="center" vertical="center" wrapText="1"/>
    </xf>
    <xf numFmtId="0" fontId="30" fillId="26" borderId="15" xfId="0" applyFont="1" applyFill="1" applyBorder="1"/>
    <xf numFmtId="168" fontId="30" fillId="26" borderId="16" xfId="41" applyNumberFormat="1" applyFont="1" applyFill="1" applyBorder="1" applyAlignment="1">
      <alignment horizontal="center" vertical="center" wrapText="1"/>
    </xf>
    <xf numFmtId="168" fontId="31" fillId="26" borderId="18" xfId="0" applyNumberFormat="1" applyFont="1" applyFill="1" applyBorder="1" applyAlignment="1">
      <alignment horizontal="center" vertical="center" wrapText="1"/>
    </xf>
    <xf numFmtId="0" fontId="48" fillId="24" borderId="0" xfId="0" applyFont="1" applyFill="1" applyAlignment="1">
      <alignment vertical="center"/>
    </xf>
    <xf numFmtId="0" fontId="63" fillId="24" borderId="21" xfId="0" applyFont="1" applyFill="1" applyBorder="1" applyAlignment="1">
      <alignment horizontal="center" vertical="center" wrapText="1"/>
    </xf>
    <xf numFmtId="0" fontId="30" fillId="24" borderId="34" xfId="0" applyFont="1" applyFill="1" applyBorder="1" applyAlignment="1">
      <alignment horizontal="center" vertical="center" wrapText="1"/>
    </xf>
    <xf numFmtId="0" fontId="30" fillId="24" borderId="57" xfId="0" applyFont="1" applyFill="1" applyBorder="1" applyAlignment="1">
      <alignment horizontal="center" vertical="center" wrapText="1"/>
    </xf>
    <xf numFmtId="0" fontId="30" fillId="24" borderId="41" xfId="0" applyFont="1" applyFill="1" applyBorder="1" applyAlignment="1">
      <alignment horizontal="center" vertical="center" wrapText="1"/>
    </xf>
    <xf numFmtId="0" fontId="78" fillId="24" borderId="0" xfId="0" applyFont="1" applyFill="1"/>
    <xf numFmtId="3" fontId="53" fillId="26" borderId="12" xfId="73" applyNumberFormat="1" applyFont="1" applyFill="1" applyBorder="1" applyAlignment="1">
      <alignment horizontal="right" vertical="center" wrapText="1"/>
    </xf>
    <xf numFmtId="168" fontId="30" fillId="24" borderId="10" xfId="41" applyNumberFormat="1" applyFont="1" applyFill="1" applyBorder="1" applyAlignment="1">
      <alignment horizontal="center" vertical="center" wrapText="1"/>
    </xf>
    <xf numFmtId="168" fontId="31" fillId="0" borderId="38" xfId="41" applyNumberFormat="1" applyFont="1" applyFill="1" applyBorder="1" applyAlignment="1">
      <alignment horizontal="center" vertical="center"/>
    </xf>
    <xf numFmtId="0" fontId="30" fillId="26" borderId="27" xfId="0" applyFont="1" applyFill="1" applyBorder="1"/>
    <xf numFmtId="49" fontId="30" fillId="26" borderId="0" xfId="0" applyNumberFormat="1" applyFont="1" applyFill="1"/>
    <xf numFmtId="168" fontId="30" fillId="26" borderId="25" xfId="41" applyNumberFormat="1" applyFont="1" applyFill="1" applyBorder="1"/>
    <xf numFmtId="0" fontId="30" fillId="24" borderId="27" xfId="0" applyFont="1" applyFill="1" applyBorder="1"/>
    <xf numFmtId="0" fontId="30" fillId="24" borderId="18" xfId="0" applyFont="1" applyFill="1" applyBorder="1" applyAlignment="1">
      <alignment vertical="center" wrapText="1"/>
    </xf>
    <xf numFmtId="0" fontId="30" fillId="24" borderId="19" xfId="0" applyFont="1" applyFill="1" applyBorder="1" applyAlignment="1">
      <alignment vertical="center" wrapText="1"/>
    </xf>
    <xf numFmtId="168" fontId="31" fillId="24" borderId="18" xfId="41" applyNumberFormat="1" applyFont="1" applyFill="1" applyBorder="1" applyAlignment="1">
      <alignment horizontal="center" vertical="center"/>
    </xf>
    <xf numFmtId="168" fontId="31" fillId="24" borderId="62" xfId="0" applyNumberFormat="1" applyFont="1" applyFill="1" applyBorder="1" applyAlignment="1">
      <alignment vertical="center"/>
    </xf>
    <xf numFmtId="168" fontId="31" fillId="24" borderId="44" xfId="0" applyNumberFormat="1" applyFont="1" applyFill="1" applyBorder="1" applyAlignment="1">
      <alignment vertical="center"/>
    </xf>
    <xf numFmtId="168" fontId="30" fillId="0" borderId="64" xfId="41" applyNumberFormat="1" applyFont="1" applyFill="1" applyBorder="1" applyAlignment="1">
      <alignment vertical="center"/>
    </xf>
    <xf numFmtId="168" fontId="26" fillId="26" borderId="0" xfId="50" applyNumberFormat="1" applyFont="1" applyFill="1" applyBorder="1" applyAlignment="1">
      <alignment horizontal="center" vertical="center" wrapText="1"/>
    </xf>
    <xf numFmtId="168" fontId="26" fillId="26" borderId="10" xfId="41" applyNumberFormat="1" applyFont="1" applyFill="1" applyBorder="1" applyAlignment="1">
      <alignment horizontal="right" vertical="center"/>
    </xf>
    <xf numFmtId="168" fontId="27" fillId="26" borderId="10" xfId="41" applyNumberFormat="1" applyFont="1" applyFill="1" applyBorder="1" applyAlignment="1">
      <alignment horizontal="center" vertical="center"/>
    </xf>
    <xf numFmtId="3" fontId="27" fillId="26" borderId="10" xfId="0" applyNumberFormat="1" applyFont="1" applyFill="1" applyBorder="1" applyAlignment="1">
      <alignment horizontal="center" vertical="center"/>
    </xf>
    <xf numFmtId="166" fontId="65" fillId="26" borderId="10" xfId="0" applyNumberFormat="1" applyFont="1" applyFill="1" applyBorder="1" applyAlignment="1">
      <alignment horizontal="left" vertical="center"/>
    </xf>
    <xf numFmtId="168" fontId="65" fillId="0" borderId="10" xfId="41" applyNumberFormat="1" applyFont="1" applyFill="1" applyBorder="1" applyAlignment="1">
      <alignment horizontal="right" vertical="center"/>
    </xf>
    <xf numFmtId="168" fontId="29" fillId="0" borderId="10" xfId="41" applyNumberFormat="1" applyFont="1" applyFill="1" applyBorder="1"/>
    <xf numFmtId="169" fontId="27" fillId="0" borderId="10" xfId="41" quotePrefix="1" applyNumberFormat="1" applyFont="1" applyFill="1" applyBorder="1" applyAlignment="1">
      <alignment horizontal="center" vertical="center"/>
    </xf>
    <xf numFmtId="169" fontId="27" fillId="0" borderId="10" xfId="41" applyNumberFormat="1" applyFont="1" applyFill="1" applyBorder="1" applyAlignment="1">
      <alignment horizontal="right" vertical="center"/>
    </xf>
    <xf numFmtId="169" fontId="27" fillId="0" borderId="10" xfId="41" applyNumberFormat="1" applyFont="1" applyFill="1" applyBorder="1" applyAlignment="1">
      <alignment horizontal="left" vertical="center"/>
    </xf>
    <xf numFmtId="169" fontId="27" fillId="0" borderId="0" xfId="41" applyNumberFormat="1" applyFont="1" applyFill="1" applyBorder="1" applyAlignment="1">
      <alignment horizontal="right" vertical="center"/>
    </xf>
    <xf numFmtId="169" fontId="27" fillId="0" borderId="0" xfId="41" applyNumberFormat="1" applyFont="1" applyFill="1"/>
    <xf numFmtId="169" fontId="27" fillId="26" borderId="10" xfId="41" applyNumberFormat="1" applyFont="1" applyFill="1" applyBorder="1" applyAlignment="1">
      <alignment horizontal="right" vertical="center"/>
    </xf>
    <xf numFmtId="169" fontId="26" fillId="0" borderId="10" xfId="41" applyNumberFormat="1" applyFont="1" applyFill="1" applyBorder="1"/>
    <xf numFmtId="169" fontId="28" fillId="0" borderId="0" xfId="41" applyNumberFormat="1" applyFont="1" applyFill="1" applyBorder="1"/>
    <xf numFmtId="169" fontId="27" fillId="24" borderId="10" xfId="41" quotePrefix="1" applyNumberFormat="1" applyFont="1" applyFill="1" applyBorder="1" applyAlignment="1">
      <alignment horizontal="center" vertical="center"/>
    </xf>
    <xf numFmtId="169" fontId="28" fillId="24" borderId="10" xfId="41" applyNumberFormat="1" applyFont="1" applyFill="1" applyBorder="1" applyAlignment="1">
      <alignment horizontal="left" vertical="center"/>
    </xf>
    <xf numFmtId="169" fontId="28" fillId="24" borderId="10" xfId="41" applyNumberFormat="1" applyFont="1" applyFill="1" applyBorder="1"/>
    <xf numFmtId="169" fontId="38" fillId="24" borderId="0" xfId="41" applyNumberFormat="1" applyFont="1" applyFill="1"/>
    <xf numFmtId="169" fontId="5" fillId="24" borderId="10" xfId="41" applyNumberFormat="1" applyFont="1" applyFill="1" applyBorder="1" applyAlignment="1">
      <alignment horizontal="left" vertical="center"/>
    </xf>
    <xf numFmtId="169" fontId="0" fillId="0" borderId="0" xfId="41" applyNumberFormat="1" applyFont="1"/>
    <xf numFmtId="169" fontId="28" fillId="24" borderId="10" xfId="41" applyNumberFormat="1" applyFont="1" applyFill="1" applyBorder="1" applyAlignment="1">
      <alignment vertical="center"/>
    </xf>
    <xf numFmtId="169" fontId="28" fillId="26" borderId="10" xfId="41" applyNumberFormat="1" applyFont="1" applyFill="1" applyBorder="1"/>
    <xf numFmtId="169" fontId="5" fillId="24" borderId="10" xfId="41" applyNumberFormat="1" applyFont="1" applyFill="1" applyBorder="1" applyAlignment="1">
      <alignment vertical="center"/>
    </xf>
    <xf numFmtId="169" fontId="28" fillId="0" borderId="10" xfId="41" applyNumberFormat="1" applyFont="1" applyFill="1" applyBorder="1" applyAlignment="1">
      <alignment vertical="center"/>
    </xf>
    <xf numFmtId="169" fontId="0" fillId="0" borderId="0" xfId="41" applyNumberFormat="1" applyFont="1" applyFill="1"/>
    <xf numFmtId="169" fontId="27" fillId="24" borderId="29" xfId="41" quotePrefix="1" applyNumberFormat="1" applyFont="1" applyFill="1" applyBorder="1" applyAlignment="1">
      <alignment horizontal="center" vertical="center"/>
    </xf>
    <xf numFmtId="169" fontId="27" fillId="24" borderId="10" xfId="41" applyNumberFormat="1" applyFont="1" applyFill="1" applyBorder="1" applyAlignment="1">
      <alignment vertical="center"/>
    </xf>
    <xf numFmtId="169" fontId="26" fillId="24" borderId="10" xfId="41" applyNumberFormat="1" applyFont="1" applyFill="1" applyBorder="1"/>
    <xf numFmtId="169" fontId="26" fillId="24" borderId="0" xfId="41" applyNumberFormat="1" applyFont="1" applyFill="1"/>
    <xf numFmtId="169" fontId="27" fillId="24" borderId="0" xfId="41" applyNumberFormat="1" applyFont="1" applyFill="1"/>
    <xf numFmtId="0" fontId="30" fillId="24" borderId="41" xfId="0" applyFont="1" applyFill="1" applyBorder="1" applyAlignment="1">
      <alignment horizontal="center" vertical="center"/>
    </xf>
    <xf numFmtId="0" fontId="30" fillId="24" borderId="18" xfId="0" applyFont="1" applyFill="1" applyBorder="1" applyAlignment="1">
      <alignment horizontal="center" vertical="center"/>
    </xf>
    <xf numFmtId="0" fontId="30" fillId="24" borderId="36" xfId="0" applyFont="1" applyFill="1" applyBorder="1" applyAlignment="1">
      <alignment horizontal="center" vertical="center"/>
    </xf>
    <xf numFmtId="168" fontId="30" fillId="0" borderId="55" xfId="41" applyNumberFormat="1" applyFont="1" applyFill="1" applyBorder="1" applyAlignment="1">
      <alignment horizontal="center" vertical="center" wrapText="1"/>
    </xf>
    <xf numFmtId="0" fontId="30" fillId="24" borderId="23" xfId="0" applyFont="1" applyFill="1" applyBorder="1" applyAlignment="1">
      <alignment horizontal="center" vertical="center"/>
    </xf>
    <xf numFmtId="0" fontId="30" fillId="24" borderId="24" xfId="0" applyFont="1" applyFill="1" applyBorder="1" applyAlignment="1">
      <alignment horizontal="center" vertical="center"/>
    </xf>
    <xf numFmtId="0" fontId="31" fillId="24" borderId="23" xfId="0" applyFont="1" applyFill="1" applyBorder="1" applyAlignment="1">
      <alignment horizontal="center" vertical="center"/>
    </xf>
    <xf numFmtId="0" fontId="31" fillId="24" borderId="23" xfId="0" applyFont="1" applyFill="1" applyBorder="1" applyAlignment="1">
      <alignment horizontal="center" vertical="center" wrapText="1"/>
    </xf>
    <xf numFmtId="168" fontId="31" fillId="24" borderId="64" xfId="41" applyNumberFormat="1" applyFont="1" applyFill="1" applyBorder="1" applyAlignment="1">
      <alignment horizontal="center" vertical="center"/>
    </xf>
    <xf numFmtId="168" fontId="31" fillId="24" borderId="23" xfId="41" applyNumberFormat="1" applyFont="1" applyFill="1" applyBorder="1" applyAlignment="1">
      <alignment horizontal="center" vertical="center"/>
    </xf>
    <xf numFmtId="0" fontId="43" fillId="0" borderId="10" xfId="0" applyFont="1" applyBorder="1" applyAlignment="1">
      <alignment horizontal="right" vertical="center"/>
    </xf>
    <xf numFmtId="0" fontId="79" fillId="24" borderId="0" xfId="0" applyFont="1" applyFill="1"/>
    <xf numFmtId="168" fontId="34" fillId="24" borderId="55" xfId="41" applyNumberFormat="1" applyFont="1" applyFill="1" applyBorder="1" applyAlignment="1">
      <alignment horizontal="center" vertical="center"/>
    </xf>
    <xf numFmtId="168" fontId="30" fillId="0" borderId="65" xfId="41" applyNumberFormat="1" applyFont="1" applyFill="1" applyBorder="1"/>
    <xf numFmtId="168" fontId="30" fillId="0" borderId="57" xfId="41" applyNumberFormat="1" applyFont="1" applyFill="1" applyBorder="1"/>
    <xf numFmtId="168" fontId="30" fillId="0" borderId="69" xfId="41" applyNumberFormat="1" applyFont="1" applyFill="1" applyBorder="1"/>
    <xf numFmtId="168" fontId="31" fillId="24" borderId="55" xfId="0" applyNumberFormat="1" applyFont="1" applyFill="1" applyBorder="1" applyAlignment="1">
      <alignment vertical="center"/>
    </xf>
    <xf numFmtId="168" fontId="31" fillId="24" borderId="19" xfId="0" applyNumberFormat="1" applyFont="1" applyFill="1" applyBorder="1" applyAlignment="1">
      <alignment vertical="center"/>
    </xf>
    <xf numFmtId="0" fontId="30" fillId="24" borderId="11" xfId="0" applyFont="1" applyFill="1" applyBorder="1"/>
    <xf numFmtId="0" fontId="30" fillId="24" borderId="36" xfId="0" applyFont="1" applyFill="1" applyBorder="1"/>
    <xf numFmtId="168" fontId="31" fillId="0" borderId="31" xfId="41" applyNumberFormat="1" applyFont="1" applyFill="1" applyBorder="1" applyAlignment="1">
      <alignment horizontal="center" vertical="center"/>
    </xf>
    <xf numFmtId="168" fontId="63" fillId="26" borderId="65" xfId="41" applyNumberFormat="1" applyFont="1" applyFill="1" applyBorder="1" applyAlignment="1">
      <alignment horizontal="center" vertical="center"/>
    </xf>
    <xf numFmtId="168" fontId="63" fillId="26" borderId="69" xfId="41" applyNumberFormat="1" applyFont="1" applyFill="1" applyBorder="1" applyAlignment="1">
      <alignment horizontal="center" vertical="center"/>
    </xf>
    <xf numFmtId="168" fontId="63" fillId="26" borderId="65" xfId="41" applyNumberFormat="1" applyFont="1" applyFill="1" applyBorder="1" applyAlignment="1">
      <alignment vertical="center"/>
    </xf>
    <xf numFmtId="168" fontId="30" fillId="0" borderId="37" xfId="41" applyNumberFormat="1" applyFont="1" applyFill="1" applyBorder="1"/>
    <xf numFmtId="168" fontId="30" fillId="0" borderId="12" xfId="41" applyNumberFormat="1" applyFont="1" applyFill="1" applyBorder="1"/>
    <xf numFmtId="168" fontId="31" fillId="24" borderId="55" xfId="41" applyNumberFormat="1" applyFont="1" applyFill="1" applyBorder="1" applyAlignment="1">
      <alignment horizontal="center" vertical="center" wrapText="1"/>
    </xf>
    <xf numFmtId="168" fontId="30" fillId="0" borderId="65" xfId="41" applyNumberFormat="1" applyFont="1" applyFill="1" applyBorder="1" applyAlignment="1">
      <alignment horizontal="center" vertical="center" wrapText="1"/>
    </xf>
    <xf numFmtId="168" fontId="30" fillId="0" borderId="57" xfId="41" applyNumberFormat="1" applyFont="1" applyFill="1" applyBorder="1" applyAlignment="1">
      <alignment horizontal="center" vertical="center" wrapText="1"/>
    </xf>
    <xf numFmtId="168" fontId="30" fillId="0" borderId="69" xfId="41" applyNumberFormat="1" applyFont="1" applyFill="1" applyBorder="1" applyAlignment="1">
      <alignment horizontal="center" vertical="center" wrapText="1"/>
    </xf>
    <xf numFmtId="168" fontId="30" fillId="26" borderId="24" xfId="41" applyNumberFormat="1" applyFont="1" applyFill="1" applyBorder="1" applyAlignment="1">
      <alignment horizontal="center" vertical="center" wrapText="1"/>
    </xf>
    <xf numFmtId="168" fontId="31" fillId="0" borderId="55" xfId="41" applyNumberFormat="1" applyFont="1" applyFill="1" applyBorder="1" applyAlignment="1">
      <alignment horizontal="center" vertical="center" wrapText="1"/>
    </xf>
    <xf numFmtId="168" fontId="30" fillId="0" borderId="51" xfId="41" applyNumberFormat="1" applyFont="1" applyFill="1" applyBorder="1" applyAlignment="1">
      <alignment horizontal="center" vertical="center" wrapText="1"/>
    </xf>
    <xf numFmtId="168" fontId="30" fillId="0" borderId="47" xfId="41" applyNumberFormat="1" applyFont="1" applyFill="1" applyBorder="1" applyAlignment="1">
      <alignment horizontal="center" vertical="center" wrapText="1"/>
    </xf>
    <xf numFmtId="168" fontId="30" fillId="26" borderId="67" xfId="41" applyNumberFormat="1" applyFont="1" applyFill="1" applyBorder="1"/>
    <xf numFmtId="168" fontId="30" fillId="26" borderId="29" xfId="41" applyNumberFormat="1" applyFont="1" applyFill="1" applyBorder="1" applyAlignment="1">
      <alignment horizontal="center" vertical="center" wrapText="1"/>
    </xf>
    <xf numFmtId="49" fontId="30" fillId="0" borderId="30" xfId="0" quotePrefix="1" applyNumberFormat="1" applyFont="1" applyBorder="1" applyAlignment="1">
      <alignment horizontal="center" vertical="center"/>
    </xf>
    <xf numFmtId="0" fontId="30" fillId="0" borderId="30" xfId="0" applyFont="1" applyBorder="1" applyAlignment="1">
      <alignment horizontal="center" vertical="center"/>
    </xf>
    <xf numFmtId="168" fontId="30" fillId="0" borderId="38" xfId="41" applyNumberFormat="1" applyFont="1" applyFill="1" applyBorder="1" applyAlignment="1">
      <alignment vertical="center"/>
    </xf>
    <xf numFmtId="168" fontId="30" fillId="0" borderId="31" xfId="41" applyNumberFormat="1" applyFont="1" applyFill="1" applyBorder="1" applyAlignment="1">
      <alignment vertical="center"/>
    </xf>
    <xf numFmtId="168" fontId="29" fillId="0" borderId="10" xfId="50" applyNumberFormat="1" applyFont="1" applyFill="1" applyBorder="1" applyAlignment="1">
      <alignment vertical="center"/>
    </xf>
    <xf numFmtId="168" fontId="30" fillId="26" borderId="12" xfId="41" applyNumberFormat="1" applyFont="1" applyFill="1" applyBorder="1" applyAlignment="1">
      <alignment horizontal="center" vertical="center" wrapText="1"/>
    </xf>
    <xf numFmtId="0" fontId="30" fillId="26" borderId="17" xfId="0" applyFont="1" applyFill="1" applyBorder="1" applyAlignment="1">
      <alignment horizontal="left" vertical="center" wrapText="1"/>
    </xf>
    <xf numFmtId="49" fontId="30" fillId="26" borderId="17" xfId="0" quotePrefix="1" applyNumberFormat="1" applyFont="1" applyFill="1" applyBorder="1" applyAlignment="1">
      <alignment horizontal="center" vertical="center"/>
    </xf>
    <xf numFmtId="49" fontId="30" fillId="26" borderId="17" xfId="0" applyNumberFormat="1" applyFont="1" applyFill="1" applyBorder="1" applyAlignment="1">
      <alignment horizontal="center" vertical="center"/>
    </xf>
    <xf numFmtId="0" fontId="30" fillId="26" borderId="17" xfId="0" applyFont="1" applyFill="1" applyBorder="1" applyAlignment="1">
      <alignment vertical="center"/>
    </xf>
    <xf numFmtId="0" fontId="30" fillId="26" borderId="17" xfId="0" applyFont="1" applyFill="1" applyBorder="1" applyAlignment="1">
      <alignment horizontal="center" vertical="center"/>
    </xf>
    <xf numFmtId="10" fontId="30" fillId="0" borderId="0" xfId="91" applyNumberFormat="1" applyFont="1"/>
    <xf numFmtId="0" fontId="65" fillId="26" borderId="10" xfId="0" applyFont="1" applyFill="1" applyBorder="1" applyAlignment="1">
      <alignment horizontal="left" vertical="center"/>
    </xf>
    <xf numFmtId="165" fontId="65" fillId="26" borderId="10" xfId="0" quotePrefix="1" applyNumberFormat="1" applyFont="1" applyFill="1" applyBorder="1" applyAlignment="1">
      <alignment horizontal="center" vertical="center"/>
    </xf>
    <xf numFmtId="168" fontId="28" fillId="26" borderId="29" xfId="50" applyNumberFormat="1" applyFont="1" applyFill="1" applyBorder="1" applyAlignment="1">
      <alignment horizontal="center" vertical="center" wrapText="1"/>
    </xf>
    <xf numFmtId="168" fontId="33" fillId="24" borderId="0" xfId="49" applyNumberFormat="1" applyFont="1" applyFill="1" applyBorder="1" applyAlignment="1">
      <alignment vertical="center" wrapText="1"/>
    </xf>
    <xf numFmtId="0" fontId="31" fillId="24" borderId="18" xfId="0" applyFont="1" applyFill="1" applyBorder="1" applyAlignment="1">
      <alignment horizontal="center" vertical="center" wrapText="1"/>
    </xf>
    <xf numFmtId="0" fontId="80" fillId="24" borderId="0" xfId="71" applyFont="1" applyFill="1"/>
    <xf numFmtId="0" fontId="30" fillId="0" borderId="20" xfId="0" quotePrefix="1" applyFont="1" applyBorder="1" applyAlignment="1">
      <alignment horizontal="center" vertical="center" wrapText="1"/>
    </xf>
    <xf numFmtId="0" fontId="63" fillId="0" borderId="20" xfId="0" applyFont="1" applyBorder="1" applyAlignment="1">
      <alignment horizontal="left" vertical="center" wrapText="1"/>
    </xf>
    <xf numFmtId="0" fontId="30" fillId="0" borderId="17" xfId="0" quotePrefix="1" applyFont="1" applyBorder="1" applyAlignment="1">
      <alignment horizontal="center" vertical="center" wrapText="1"/>
    </xf>
    <xf numFmtId="0" fontId="63" fillId="0" borderId="17" xfId="0" applyFont="1" applyBorder="1" applyAlignment="1">
      <alignment horizontal="left" vertical="center" wrapText="1"/>
    </xf>
    <xf numFmtId="0" fontId="30" fillId="0" borderId="12" xfId="0" applyFont="1" applyBorder="1" applyAlignment="1">
      <alignment vertical="center" wrapText="1"/>
    </xf>
    <xf numFmtId="168" fontId="30" fillId="24" borderId="17" xfId="41" applyNumberFormat="1" applyFont="1" applyFill="1" applyBorder="1" applyAlignment="1">
      <alignment vertical="center"/>
    </xf>
    <xf numFmtId="168" fontId="30" fillId="24" borderId="20" xfId="0" applyNumberFormat="1" applyFont="1" applyFill="1" applyBorder="1" applyAlignment="1">
      <alignment vertical="center"/>
    </xf>
    <xf numFmtId="168" fontId="30" fillId="24" borderId="34" xfId="0" applyNumberFormat="1" applyFont="1" applyFill="1" applyBorder="1" applyAlignment="1">
      <alignment vertical="center"/>
    </xf>
    <xf numFmtId="168" fontId="30" fillId="24" borderId="44" xfId="0" applyNumberFormat="1" applyFont="1" applyFill="1" applyBorder="1" applyAlignment="1">
      <alignment vertical="center"/>
    </xf>
    <xf numFmtId="0" fontId="28" fillId="26" borderId="20" xfId="0" applyFont="1" applyFill="1" applyBorder="1" applyAlignment="1">
      <alignment vertical="center"/>
    </xf>
    <xf numFmtId="0" fontId="28" fillId="26" borderId="34" xfId="0" applyFont="1" applyFill="1" applyBorder="1" applyAlignment="1">
      <alignment vertical="center"/>
    </xf>
    <xf numFmtId="49" fontId="30" fillId="24" borderId="17" xfId="0" applyNumberFormat="1" applyFont="1" applyFill="1" applyBorder="1" applyAlignment="1">
      <alignment vertical="center"/>
    </xf>
    <xf numFmtId="168" fontId="30" fillId="24" borderId="20" xfId="41" applyNumberFormat="1" applyFont="1" applyFill="1" applyBorder="1" applyAlignment="1">
      <alignment vertical="center"/>
    </xf>
    <xf numFmtId="168" fontId="30" fillId="0" borderId="44" xfId="41" applyNumberFormat="1" applyFont="1" applyFill="1" applyBorder="1" applyAlignment="1">
      <alignment horizontal="center" vertical="center" wrapText="1"/>
    </xf>
    <xf numFmtId="168" fontId="30" fillId="0" borderId="63" xfId="41" applyNumberFormat="1" applyFont="1" applyFill="1" applyBorder="1" applyAlignment="1">
      <alignment horizontal="center" vertical="center" wrapText="1"/>
    </xf>
    <xf numFmtId="0" fontId="30" fillId="26" borderId="48" xfId="0" applyFont="1" applyFill="1" applyBorder="1" applyAlignment="1">
      <alignment horizontal="center" vertical="center"/>
    </xf>
    <xf numFmtId="168" fontId="30" fillId="26" borderId="34" xfId="41" applyNumberFormat="1" applyFont="1" applyFill="1" applyBorder="1" applyAlignment="1">
      <alignment horizontal="left" vertical="center" wrapText="1"/>
    </xf>
    <xf numFmtId="168" fontId="30" fillId="26" borderId="17" xfId="41" applyNumberFormat="1" applyFont="1" applyFill="1" applyBorder="1" applyAlignment="1">
      <alignment horizontal="center" vertical="center" wrapText="1"/>
    </xf>
    <xf numFmtId="168" fontId="30" fillId="26" borderId="17" xfId="41" applyNumberFormat="1" applyFont="1" applyFill="1" applyBorder="1" applyAlignment="1">
      <alignment vertical="center" wrapText="1"/>
    </xf>
    <xf numFmtId="168" fontId="30" fillId="26" borderId="12" xfId="41" applyNumberFormat="1" applyFont="1" applyFill="1" applyBorder="1" applyAlignment="1">
      <alignment horizontal="left" vertical="center" wrapText="1"/>
    </xf>
    <xf numFmtId="0" fontId="30" fillId="26" borderId="17" xfId="0" applyFont="1" applyFill="1" applyBorder="1"/>
    <xf numFmtId="0" fontId="30" fillId="26" borderId="50" xfId="0" applyFont="1" applyFill="1" applyBorder="1" applyAlignment="1">
      <alignment horizontal="center" vertical="center"/>
    </xf>
    <xf numFmtId="49" fontId="30" fillId="26" borderId="30" xfId="0" applyNumberFormat="1" applyFont="1" applyFill="1" applyBorder="1" applyAlignment="1">
      <alignment horizontal="center" vertical="center"/>
    </xf>
    <xf numFmtId="0" fontId="30" fillId="26" borderId="30" xfId="0" applyFont="1" applyFill="1" applyBorder="1" applyAlignment="1">
      <alignment horizontal="center" vertical="center"/>
    </xf>
    <xf numFmtId="0" fontId="30" fillId="26" borderId="30" xfId="0" applyFont="1" applyFill="1" applyBorder="1" applyAlignment="1">
      <alignment vertical="center"/>
    </xf>
    <xf numFmtId="168" fontId="30" fillId="26" borderId="30" xfId="41" applyNumberFormat="1" applyFont="1" applyFill="1" applyBorder="1" applyAlignment="1">
      <alignment horizontal="center" vertical="center" wrapText="1"/>
    </xf>
    <xf numFmtId="0" fontId="30" fillId="26" borderId="30" xfId="0" applyFont="1" applyFill="1" applyBorder="1"/>
    <xf numFmtId="168" fontId="30" fillId="26" borderId="38" xfId="41" applyNumberFormat="1" applyFont="1" applyFill="1" applyBorder="1" applyAlignment="1">
      <alignment horizontal="center" vertical="center" wrapText="1"/>
    </xf>
    <xf numFmtId="0" fontId="29" fillId="0" borderId="10" xfId="0" applyFont="1" applyBorder="1" applyAlignment="1">
      <alignment horizontal="left" vertical="center" wrapText="1"/>
    </xf>
    <xf numFmtId="0" fontId="27" fillId="0" borderId="10" xfId="0" applyFont="1" applyBorder="1" applyAlignment="1">
      <alignment horizontal="left" vertical="center" wrapText="1"/>
    </xf>
    <xf numFmtId="164" fontId="38" fillId="24" borderId="0" xfId="71" applyNumberFormat="1" applyFill="1"/>
    <xf numFmtId="169" fontId="0" fillId="0" borderId="0" xfId="0" applyNumberFormat="1"/>
    <xf numFmtId="168" fontId="30" fillId="28" borderId="17" xfId="41" applyNumberFormat="1" applyFont="1" applyFill="1" applyBorder="1" applyAlignment="1">
      <alignment horizontal="center" vertical="center" wrapText="1"/>
    </xf>
    <xf numFmtId="0" fontId="30" fillId="28" borderId="48" xfId="0" applyFont="1" applyFill="1" applyBorder="1" applyAlignment="1">
      <alignment horizontal="center" vertical="center"/>
    </xf>
    <xf numFmtId="0" fontId="30" fillId="28" borderId="17" xfId="0" quotePrefix="1" applyFont="1" applyFill="1" applyBorder="1" applyAlignment="1">
      <alignment horizontal="center" vertical="center"/>
    </xf>
    <xf numFmtId="0" fontId="30" fillId="28" borderId="17" xfId="0" applyFont="1" applyFill="1" applyBorder="1" applyAlignment="1">
      <alignment horizontal="center" vertical="center"/>
    </xf>
    <xf numFmtId="0" fontId="30" fillId="28" borderId="17" xfId="0" applyFont="1" applyFill="1" applyBorder="1" applyAlignment="1">
      <alignment horizontal="center" vertical="center" wrapText="1"/>
    </xf>
    <xf numFmtId="168" fontId="30" fillId="28" borderId="12" xfId="41" applyNumberFormat="1" applyFont="1" applyFill="1" applyBorder="1" applyAlignment="1">
      <alignment horizontal="center" vertical="center" wrapText="1"/>
    </xf>
    <xf numFmtId="168" fontId="30" fillId="28" borderId="69" xfId="41" applyNumberFormat="1" applyFont="1" applyFill="1" applyBorder="1" applyAlignment="1">
      <alignment horizontal="center" vertical="center" wrapText="1"/>
    </xf>
    <xf numFmtId="0" fontId="30" fillId="28" borderId="0" xfId="0" applyFont="1" applyFill="1"/>
    <xf numFmtId="0" fontId="63" fillId="28" borderId="17" xfId="0" applyFont="1" applyFill="1" applyBorder="1" applyAlignment="1">
      <alignment horizontal="center" vertical="center" wrapText="1"/>
    </xf>
    <xf numFmtId="168" fontId="30" fillId="28" borderId="63" xfId="41" applyNumberFormat="1" applyFont="1" applyFill="1" applyBorder="1" applyAlignment="1">
      <alignment horizontal="center" vertical="center" wrapText="1"/>
    </xf>
    <xf numFmtId="164" fontId="26" fillId="24" borderId="10" xfId="41" applyFont="1" applyFill="1" applyBorder="1" applyAlignment="1">
      <alignment horizontal="center"/>
    </xf>
    <xf numFmtId="0" fontId="48" fillId="0" borderId="0" xfId="0" applyFont="1" applyAlignment="1">
      <alignment vertical="center"/>
    </xf>
    <xf numFmtId="0" fontId="28" fillId="0" borderId="4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55" xfId="0" applyFont="1" applyBorder="1" applyAlignment="1">
      <alignment horizontal="center" vertical="center" wrapText="1"/>
    </xf>
    <xf numFmtId="0" fontId="30" fillId="0" borderId="41" xfId="0" applyFont="1" applyBorder="1" applyAlignment="1">
      <alignment vertical="center"/>
    </xf>
    <xf numFmtId="168" fontId="30" fillId="0" borderId="18" xfId="41" applyNumberFormat="1" applyFont="1" applyFill="1" applyBorder="1" applyAlignment="1">
      <alignment horizontal="center" vertical="center"/>
    </xf>
    <xf numFmtId="168" fontId="30" fillId="0" borderId="19" xfId="41" applyNumberFormat="1" applyFont="1" applyFill="1" applyBorder="1" applyAlignment="1">
      <alignment horizontal="center" vertical="center"/>
    </xf>
    <xf numFmtId="168" fontId="30" fillId="0" borderId="55" xfId="41" applyNumberFormat="1" applyFont="1" applyFill="1" applyBorder="1" applyAlignment="1">
      <alignment horizontal="center" vertical="center"/>
    </xf>
    <xf numFmtId="0" fontId="30" fillId="0" borderId="18" xfId="0" applyFont="1" applyBorder="1" applyAlignment="1">
      <alignment horizontal="left" vertical="center" wrapText="1"/>
    </xf>
    <xf numFmtId="168" fontId="31" fillId="0" borderId="55" xfId="41" applyNumberFormat="1" applyFont="1" applyFill="1" applyBorder="1" applyAlignment="1">
      <alignment horizontal="center" vertical="center"/>
    </xf>
    <xf numFmtId="49" fontId="30" fillId="0" borderId="26" xfId="0" quotePrefix="1" applyNumberFormat="1" applyFont="1" applyBorder="1" applyAlignment="1">
      <alignment horizontal="center" vertical="center"/>
    </xf>
    <xf numFmtId="0" fontId="31" fillId="0" borderId="14" xfId="0" applyFont="1" applyBorder="1" applyAlignment="1">
      <alignment horizontal="center" vertical="center"/>
    </xf>
    <xf numFmtId="168" fontId="31" fillId="0" borderId="14" xfId="41" applyNumberFormat="1" applyFont="1" applyFill="1" applyBorder="1" applyAlignment="1">
      <alignment horizontal="center" vertical="center"/>
    </xf>
    <xf numFmtId="168" fontId="30" fillId="0" borderId="65" xfId="41" applyNumberFormat="1" applyFont="1" applyFill="1" applyBorder="1" applyAlignment="1">
      <alignment horizontal="center" vertical="center"/>
    </xf>
    <xf numFmtId="49" fontId="30" fillId="0" borderId="21" xfId="0" quotePrefix="1" applyNumberFormat="1" applyFont="1" applyBorder="1" applyAlignment="1">
      <alignment horizontal="center" vertical="center"/>
    </xf>
    <xf numFmtId="0" fontId="31" fillId="0" borderId="20" xfId="0" applyFont="1" applyBorder="1" applyAlignment="1">
      <alignment horizontal="center" vertical="center"/>
    </xf>
    <xf numFmtId="168" fontId="31" fillId="0" borderId="20" xfId="41" applyNumberFormat="1" applyFont="1" applyFill="1" applyBorder="1" applyAlignment="1">
      <alignment horizontal="center" vertical="center"/>
    </xf>
    <xf numFmtId="168" fontId="30" fillId="0" borderId="57" xfId="41" applyNumberFormat="1" applyFont="1" applyFill="1" applyBorder="1" applyAlignment="1">
      <alignment horizontal="center" vertical="center"/>
    </xf>
    <xf numFmtId="49" fontId="30" fillId="0" borderId="43" xfId="0" quotePrefix="1" applyNumberFormat="1" applyFont="1" applyBorder="1" applyAlignment="1">
      <alignment horizontal="center" vertical="center"/>
    </xf>
    <xf numFmtId="49" fontId="30" fillId="0" borderId="13" xfId="0" quotePrefix="1" applyNumberFormat="1" applyFont="1" applyBorder="1" applyAlignment="1">
      <alignment horizontal="center" vertical="center"/>
    </xf>
    <xf numFmtId="49" fontId="30" fillId="0" borderId="20" xfId="0" applyNumberFormat="1" applyFont="1" applyBorder="1" applyAlignment="1">
      <alignment horizontal="center" vertical="center"/>
    </xf>
    <xf numFmtId="49" fontId="30" fillId="0" borderId="20" xfId="0" quotePrefix="1" applyNumberFormat="1" applyFont="1" applyBorder="1" applyAlignment="1">
      <alignment horizontal="center" vertical="center" wrapText="1"/>
    </xf>
    <xf numFmtId="49" fontId="30" fillId="0" borderId="21" xfId="0" applyNumberFormat="1" applyFont="1" applyBorder="1" applyAlignment="1">
      <alignment horizontal="center" vertical="center"/>
    </xf>
    <xf numFmtId="49" fontId="30" fillId="0" borderId="48" xfId="0" applyNumberFormat="1" applyFont="1" applyBorder="1" applyAlignment="1">
      <alignment horizontal="center" vertical="center"/>
    </xf>
    <xf numFmtId="168" fontId="31" fillId="0" borderId="17" xfId="41" applyNumberFormat="1" applyFont="1" applyFill="1" applyBorder="1" applyAlignment="1">
      <alignment horizontal="center" vertical="center"/>
    </xf>
    <xf numFmtId="168" fontId="30" fillId="0" borderId="69" xfId="41" applyNumberFormat="1" applyFont="1" applyFill="1" applyBorder="1" applyAlignment="1">
      <alignment horizontal="center" vertical="center"/>
    </xf>
    <xf numFmtId="0" fontId="31" fillId="0" borderId="41" xfId="0" applyFont="1" applyBorder="1" applyAlignment="1">
      <alignment vertical="center"/>
    </xf>
    <xf numFmtId="0" fontId="29" fillId="0" borderId="18" xfId="0" applyFont="1" applyBorder="1" applyAlignment="1">
      <alignment vertical="center"/>
    </xf>
    <xf numFmtId="168" fontId="29" fillId="0" borderId="18" xfId="41" applyNumberFormat="1" applyFont="1" applyFill="1" applyBorder="1" applyAlignment="1">
      <alignment vertical="center"/>
    </xf>
    <xf numFmtId="168" fontId="29" fillId="0" borderId="19" xfId="41" applyNumberFormat="1" applyFont="1" applyFill="1" applyBorder="1" applyAlignment="1">
      <alignment vertical="center"/>
    </xf>
    <xf numFmtId="168" fontId="29" fillId="0" borderId="55" xfId="41" applyNumberFormat="1" applyFont="1" applyFill="1" applyBorder="1" applyAlignment="1">
      <alignment vertical="center"/>
    </xf>
    <xf numFmtId="168" fontId="70" fillId="0" borderId="0" xfId="41" applyNumberFormat="1" applyFont="1" applyFill="1"/>
    <xf numFmtId="0" fontId="30" fillId="0" borderId="0" xfId="0" applyFont="1" applyAlignment="1">
      <alignment vertical="center"/>
    </xf>
    <xf numFmtId="168" fontId="30" fillId="0" borderId="0" xfId="0" applyNumberFormat="1" applyFont="1" applyAlignment="1">
      <alignment horizontal="left" vertical="center" wrapText="1"/>
    </xf>
    <xf numFmtId="0" fontId="30" fillId="0" borderId="0" xfId="0" applyFont="1" applyAlignment="1">
      <alignment horizontal="center" vertical="center"/>
    </xf>
    <xf numFmtId="168" fontId="30" fillId="0" borderId="0" xfId="41" applyNumberFormat="1" applyFont="1" applyFill="1" applyBorder="1" applyAlignment="1">
      <alignment horizontal="center" vertical="center"/>
    </xf>
    <xf numFmtId="168" fontId="30" fillId="0" borderId="0" xfId="41" applyNumberFormat="1" applyFont="1" applyFill="1" applyBorder="1" applyAlignment="1">
      <alignment vertical="center"/>
    </xf>
    <xf numFmtId="168" fontId="30" fillId="0" borderId="0" xfId="41" applyNumberFormat="1" applyFont="1" applyFill="1" applyBorder="1"/>
    <xf numFmtId="171" fontId="30" fillId="0" borderId="0" xfId="78" applyNumberFormat="1" applyFont="1" applyFill="1"/>
    <xf numFmtId="0" fontId="31" fillId="0" borderId="0" xfId="0" applyFont="1" applyAlignment="1">
      <alignment vertical="center"/>
    </xf>
    <xf numFmtId="0" fontId="29" fillId="0" borderId="0" xfId="0" applyFont="1" applyAlignment="1">
      <alignment vertical="center"/>
    </xf>
    <xf numFmtId="0" fontId="26" fillId="0" borderId="36" xfId="0" applyFont="1" applyBorder="1"/>
    <xf numFmtId="0" fontId="31" fillId="0" borderId="41" xfId="0" applyFont="1" applyBorder="1" applyAlignment="1">
      <alignment horizontal="left" vertical="center"/>
    </xf>
    <xf numFmtId="168" fontId="31" fillId="0" borderId="0" xfId="0" applyNumberFormat="1" applyFont="1"/>
    <xf numFmtId="49" fontId="30" fillId="0" borderId="20" xfId="0" applyNumberFormat="1" applyFont="1" applyBorder="1" applyAlignment="1">
      <alignment horizontal="center" vertical="center" wrapText="1"/>
    </xf>
    <xf numFmtId="49" fontId="30" fillId="0" borderId="22" xfId="0" quotePrefix="1" applyNumberFormat="1" applyFont="1" applyBorder="1" applyAlignment="1">
      <alignment horizontal="center" vertical="center"/>
    </xf>
    <xf numFmtId="49" fontId="30" fillId="0" borderId="42" xfId="0" quotePrefix="1" applyNumberFormat="1" applyFont="1" applyBorder="1" applyAlignment="1">
      <alignment horizontal="center" vertical="center"/>
    </xf>
    <xf numFmtId="168" fontId="30" fillId="0" borderId="32" xfId="41" applyNumberFormat="1" applyFont="1" applyFill="1" applyBorder="1" applyAlignment="1">
      <alignment horizontal="center" vertical="center"/>
    </xf>
    <xf numFmtId="168" fontId="30" fillId="0" borderId="61" xfId="41" applyNumberFormat="1" applyFont="1" applyFill="1" applyBorder="1" applyAlignment="1">
      <alignment horizontal="center" vertical="center"/>
    </xf>
    <xf numFmtId="168" fontId="30" fillId="0" borderId="53" xfId="41" applyNumberFormat="1" applyFont="1" applyFill="1" applyBorder="1" applyAlignment="1">
      <alignment horizontal="center" vertical="center"/>
    </xf>
    <xf numFmtId="0" fontId="31" fillId="0" borderId="29" xfId="0" applyFont="1" applyBorder="1" applyAlignment="1">
      <alignment horizontal="left" vertical="center"/>
    </xf>
    <xf numFmtId="0" fontId="31" fillId="0" borderId="41" xfId="0" applyFont="1" applyBorder="1" applyAlignment="1">
      <alignment horizontal="center" vertical="center"/>
    </xf>
    <xf numFmtId="49" fontId="30" fillId="0" borderId="26" xfId="0" applyNumberFormat="1" applyFont="1" applyBorder="1" applyAlignment="1">
      <alignment horizontal="center" vertical="center"/>
    </xf>
    <xf numFmtId="49" fontId="30" fillId="0" borderId="14" xfId="0" applyNumberFormat="1" applyFont="1" applyBorder="1" applyAlignment="1">
      <alignment horizontal="center" vertical="center" wrapText="1"/>
    </xf>
    <xf numFmtId="49" fontId="30" fillId="0" borderId="22" xfId="0" applyNumberFormat="1" applyFont="1" applyBorder="1" applyAlignment="1">
      <alignment horizontal="center" vertical="center"/>
    </xf>
    <xf numFmtId="49" fontId="30" fillId="0" borderId="42" xfId="0" applyNumberFormat="1" applyFont="1" applyBorder="1" applyAlignment="1">
      <alignment horizontal="center" vertical="center" wrapText="1"/>
    </xf>
    <xf numFmtId="168" fontId="31" fillId="0" borderId="42" xfId="41" applyNumberFormat="1" applyFont="1" applyFill="1" applyBorder="1" applyAlignment="1">
      <alignment horizontal="center" vertical="center"/>
    </xf>
    <xf numFmtId="168" fontId="30" fillId="0" borderId="42" xfId="41" applyNumberFormat="1" applyFont="1" applyFill="1" applyBorder="1"/>
    <xf numFmtId="49" fontId="30" fillId="0" borderId="13" xfId="0" quotePrefix="1" applyNumberFormat="1" applyFont="1" applyBorder="1" applyAlignment="1">
      <alignment horizontal="center" vertical="center" wrapText="1"/>
    </xf>
    <xf numFmtId="49" fontId="30" fillId="0" borderId="13" xfId="0" applyNumberFormat="1" applyFont="1" applyBorder="1" applyAlignment="1">
      <alignment horizontal="center" vertical="center" wrapText="1"/>
    </xf>
    <xf numFmtId="168" fontId="31" fillId="0" borderId="13" xfId="41" applyNumberFormat="1" applyFont="1" applyFill="1" applyBorder="1" applyAlignment="1">
      <alignment horizontal="center" vertical="center"/>
    </xf>
    <xf numFmtId="168" fontId="30" fillId="0" borderId="33" xfId="41" applyNumberFormat="1" applyFont="1" applyFill="1" applyBorder="1" applyAlignment="1">
      <alignment horizontal="center" vertical="center"/>
    </xf>
    <xf numFmtId="168" fontId="30" fillId="0" borderId="54" xfId="41" applyNumberFormat="1" applyFont="1" applyFill="1" applyBorder="1" applyAlignment="1">
      <alignment horizontal="center" vertical="center"/>
    </xf>
    <xf numFmtId="168" fontId="30" fillId="0" borderId="54" xfId="41" applyNumberFormat="1" applyFont="1" applyFill="1" applyBorder="1" applyAlignment="1">
      <alignment vertical="center"/>
    </xf>
    <xf numFmtId="168" fontId="30" fillId="0" borderId="13" xfId="41" applyNumberFormat="1" applyFont="1" applyFill="1" applyBorder="1"/>
    <xf numFmtId="49" fontId="30" fillId="0" borderId="48" xfId="0" quotePrefix="1" applyNumberFormat="1" applyFont="1" applyBorder="1" applyAlignment="1">
      <alignment horizontal="center" vertical="center"/>
    </xf>
    <xf numFmtId="49" fontId="30" fillId="0" borderId="17" xfId="0" quotePrefix="1" applyNumberFormat="1" applyFont="1" applyBorder="1" applyAlignment="1">
      <alignment horizontal="center" vertical="center" wrapText="1"/>
    </xf>
    <xf numFmtId="49" fontId="30" fillId="0" borderId="17" xfId="0" applyNumberFormat="1" applyFont="1" applyBorder="1" applyAlignment="1">
      <alignment horizontal="center" vertical="center" wrapText="1"/>
    </xf>
    <xf numFmtId="168" fontId="30" fillId="0" borderId="44" xfId="41" applyNumberFormat="1" applyFont="1" applyFill="1" applyBorder="1" applyAlignment="1">
      <alignment horizontal="center" vertical="center"/>
    </xf>
    <xf numFmtId="168" fontId="30" fillId="0" borderId="42" xfId="41" applyNumberFormat="1" applyFont="1" applyFill="1" applyBorder="1" applyAlignment="1">
      <alignment vertical="center"/>
    </xf>
    <xf numFmtId="168" fontId="30" fillId="0" borderId="13" xfId="41" applyNumberFormat="1" applyFont="1" applyFill="1" applyBorder="1" applyAlignment="1">
      <alignment vertical="center"/>
    </xf>
    <xf numFmtId="168" fontId="31" fillId="0" borderId="64" xfId="41" applyNumberFormat="1" applyFont="1" applyFill="1" applyBorder="1" applyAlignment="1">
      <alignment horizontal="center" vertical="center"/>
    </xf>
    <xf numFmtId="168" fontId="31" fillId="0" borderId="41" xfId="41" applyNumberFormat="1" applyFont="1" applyFill="1" applyBorder="1" applyAlignment="1">
      <alignment horizontal="center" vertical="center"/>
    </xf>
    <xf numFmtId="49" fontId="30" fillId="0" borderId="43" xfId="0" applyNumberFormat="1" applyFont="1" applyBorder="1" applyAlignment="1">
      <alignment horizontal="center" vertical="center"/>
    </xf>
    <xf numFmtId="0" fontId="30" fillId="0" borderId="13" xfId="0" applyFont="1" applyBorder="1" applyAlignment="1">
      <alignment horizontal="center" vertical="center" wrapText="1"/>
    </xf>
    <xf numFmtId="168" fontId="30" fillId="0" borderId="32" xfId="41" applyNumberFormat="1" applyFont="1" applyFill="1" applyBorder="1" applyAlignment="1">
      <alignment horizontal="center" vertical="center" wrapText="1"/>
    </xf>
    <xf numFmtId="168" fontId="30" fillId="0" borderId="33" xfId="41" applyNumberFormat="1" applyFont="1" applyFill="1" applyBorder="1" applyAlignment="1">
      <alignment horizontal="center" vertical="center" wrapText="1"/>
    </xf>
    <xf numFmtId="0" fontId="30" fillId="0" borderId="34" xfId="0" applyFont="1" applyBorder="1" applyAlignment="1">
      <alignment horizontal="left" vertical="center" wrapText="1"/>
    </xf>
    <xf numFmtId="0" fontId="30" fillId="0" borderId="57" xfId="0" applyFont="1" applyBorder="1" applyAlignment="1">
      <alignment horizontal="left" vertical="center" wrapText="1"/>
    </xf>
    <xf numFmtId="49" fontId="30" fillId="0" borderId="45" xfId="0" quotePrefix="1" applyNumberFormat="1" applyFont="1" applyBorder="1" applyAlignment="1">
      <alignment horizontal="center" vertical="center"/>
    </xf>
    <xf numFmtId="49" fontId="30" fillId="0" borderId="46" xfId="0" quotePrefix="1" applyNumberFormat="1" applyFont="1" applyBorder="1" applyAlignment="1">
      <alignment horizontal="center" vertical="center"/>
    </xf>
    <xf numFmtId="0" fontId="30" fillId="0" borderId="46" xfId="0" applyFont="1" applyBorder="1" applyAlignment="1">
      <alignment horizontal="left" vertical="center" wrapText="1"/>
    </xf>
    <xf numFmtId="0" fontId="31" fillId="0" borderId="18" xfId="0" applyFont="1" applyBorder="1" applyAlignment="1">
      <alignment wrapText="1"/>
    </xf>
    <xf numFmtId="0" fontId="31" fillId="0" borderId="43" xfId="0" applyFont="1" applyBorder="1"/>
    <xf numFmtId="0" fontId="31" fillId="0" borderId="13" xfId="0" applyFont="1" applyBorder="1"/>
    <xf numFmtId="168" fontId="31" fillId="0" borderId="13" xfId="41" applyNumberFormat="1" applyFont="1" applyFill="1" applyBorder="1" applyAlignment="1">
      <alignment vertical="center"/>
    </xf>
    <xf numFmtId="168" fontId="31" fillId="0" borderId="33" xfId="41" applyNumberFormat="1" applyFont="1" applyFill="1" applyBorder="1" applyAlignment="1">
      <alignment vertical="center"/>
    </xf>
    <xf numFmtId="168" fontId="31" fillId="0" borderId="54" xfId="41" applyNumberFormat="1" applyFont="1" applyFill="1" applyBorder="1" applyAlignment="1">
      <alignment vertical="center"/>
    </xf>
    <xf numFmtId="168" fontId="31" fillId="0" borderId="31" xfId="41" applyNumberFormat="1" applyFont="1" applyFill="1" applyBorder="1" applyAlignment="1">
      <alignment vertical="center"/>
    </xf>
    <xf numFmtId="168" fontId="31" fillId="0" borderId="30" xfId="41" applyNumberFormat="1" applyFont="1" applyFill="1" applyBorder="1" applyAlignment="1">
      <alignment vertical="center"/>
    </xf>
    <xf numFmtId="168" fontId="31" fillId="0" borderId="20" xfId="41" applyNumberFormat="1" applyFont="1" applyFill="1" applyBorder="1" applyAlignment="1">
      <alignment vertical="center"/>
    </xf>
    <xf numFmtId="168" fontId="31" fillId="0" borderId="17" xfId="41" applyNumberFormat="1" applyFont="1" applyFill="1" applyBorder="1" applyAlignment="1">
      <alignment vertical="center"/>
    </xf>
    <xf numFmtId="49" fontId="30" fillId="0" borderId="13" xfId="0" applyNumberFormat="1" applyFont="1" applyBorder="1" applyAlignment="1">
      <alignment horizontal="center" vertical="center"/>
    </xf>
    <xf numFmtId="0" fontId="30" fillId="0" borderId="13" xfId="0" applyFont="1" applyBorder="1" applyAlignment="1">
      <alignment vertical="center" wrapText="1"/>
    </xf>
    <xf numFmtId="168" fontId="30" fillId="0" borderId="33" xfId="41" applyNumberFormat="1" applyFont="1" applyFill="1" applyBorder="1" applyAlignment="1">
      <alignment vertical="center"/>
    </xf>
    <xf numFmtId="0" fontId="29" fillId="0" borderId="18" xfId="0" applyFont="1" applyBorder="1" applyAlignment="1">
      <alignment wrapText="1"/>
    </xf>
    <xf numFmtId="168" fontId="29" fillId="0" borderId="19" xfId="41" applyNumberFormat="1" applyFont="1" applyFill="1" applyBorder="1"/>
    <xf numFmtId="0" fontId="30" fillId="0" borderId="0" xfId="0" applyFont="1" applyAlignment="1">
      <alignment wrapText="1"/>
    </xf>
    <xf numFmtId="168" fontId="30" fillId="0" borderId="26" xfId="41" applyNumberFormat="1" applyFont="1" applyFill="1" applyBorder="1" applyAlignment="1">
      <alignment horizontal="center" vertical="center"/>
    </xf>
    <xf numFmtId="168" fontId="30" fillId="0" borderId="48" xfId="41" applyNumberFormat="1" applyFont="1" applyFill="1" applyBorder="1" applyAlignment="1">
      <alignment horizontal="center" vertical="center"/>
    </xf>
    <xf numFmtId="168" fontId="30" fillId="0" borderId="49" xfId="41" applyNumberFormat="1" applyFont="1" applyFill="1" applyBorder="1" applyAlignment="1">
      <alignment horizontal="center" vertical="center"/>
    </xf>
    <xf numFmtId="168" fontId="30" fillId="0" borderId="21" xfId="41" applyNumberFormat="1" applyFont="1" applyFill="1" applyBorder="1" applyAlignment="1">
      <alignment horizontal="center" vertical="center"/>
    </xf>
    <xf numFmtId="49" fontId="26" fillId="0" borderId="67" xfId="0" applyNumberFormat="1" applyFont="1" applyBorder="1" applyAlignment="1">
      <alignment horizontal="center" vertical="center" wrapText="1"/>
    </xf>
    <xf numFmtId="49" fontId="26" fillId="0" borderId="28" xfId="0" applyNumberFormat="1" applyFont="1" applyBorder="1" applyAlignment="1">
      <alignment horizontal="center" vertical="center" wrapText="1"/>
    </xf>
    <xf numFmtId="49" fontId="26" fillId="0" borderId="68" xfId="0" applyNumberFormat="1" applyFont="1" applyBorder="1" applyAlignment="1">
      <alignment horizontal="center" vertical="center" wrapText="1"/>
    </xf>
    <xf numFmtId="49" fontId="26" fillId="0" borderId="35" xfId="0" applyNumberFormat="1" applyFont="1" applyBorder="1" applyAlignment="1">
      <alignment horizontal="center" vertical="center" wrapText="1"/>
    </xf>
    <xf numFmtId="49" fontId="26" fillId="0" borderId="11" xfId="0" applyNumberFormat="1" applyFont="1" applyBorder="1" applyAlignment="1">
      <alignment horizontal="center" vertical="center" wrapText="1"/>
    </xf>
    <xf numFmtId="49" fontId="26" fillId="0" borderId="36" xfId="0" applyNumberFormat="1" applyFont="1" applyBorder="1" applyAlignment="1">
      <alignment horizontal="center" vertical="center" wrapText="1"/>
    </xf>
    <xf numFmtId="49" fontId="26" fillId="0" borderId="29"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49" fontId="26" fillId="0" borderId="24" xfId="0" applyNumberFormat="1" applyFont="1" applyBorder="1" applyAlignment="1">
      <alignment horizontal="center" vertical="center" wrapText="1"/>
    </xf>
    <xf numFmtId="168" fontId="28" fillId="0" borderId="29" xfId="49" applyNumberFormat="1" applyFont="1" applyFill="1" applyBorder="1" applyAlignment="1">
      <alignment horizontal="center" vertical="center" wrapText="1"/>
    </xf>
    <xf numFmtId="168" fontId="28" fillId="0" borderId="23" xfId="49" applyNumberFormat="1" applyFont="1" applyFill="1" applyBorder="1" applyAlignment="1">
      <alignment horizontal="center" vertical="center" wrapText="1"/>
    </xf>
    <xf numFmtId="168" fontId="28" fillId="0" borderId="24" xfId="49" applyNumberFormat="1" applyFont="1" applyFill="1" applyBorder="1" applyAlignment="1">
      <alignment horizontal="center" vertical="center" wrapText="1"/>
    </xf>
    <xf numFmtId="168" fontId="28" fillId="24" borderId="29" xfId="49" applyNumberFormat="1" applyFont="1" applyFill="1" applyBorder="1" applyAlignment="1">
      <alignment horizontal="center" vertical="center" wrapText="1"/>
    </xf>
    <xf numFmtId="168" fontId="28" fillId="24" borderId="23" xfId="49" applyNumberFormat="1" applyFont="1" applyFill="1" applyBorder="1" applyAlignment="1">
      <alignment horizontal="center" vertical="center" wrapText="1"/>
    </xf>
    <xf numFmtId="168" fontId="28" fillId="24" borderId="24" xfId="49" applyNumberFormat="1" applyFont="1" applyFill="1" applyBorder="1" applyAlignment="1">
      <alignment horizontal="center" vertical="center" wrapText="1"/>
    </xf>
    <xf numFmtId="0" fontId="29" fillId="26" borderId="10" xfId="0" applyFont="1" applyFill="1" applyBorder="1" applyAlignment="1">
      <alignment horizontal="center" vertical="center"/>
    </xf>
    <xf numFmtId="165" fontId="27" fillId="26" borderId="10" xfId="0" applyNumberFormat="1" applyFont="1" applyFill="1" applyBorder="1" applyAlignment="1">
      <alignment horizontal="center" vertical="center" wrapText="1"/>
    </xf>
    <xf numFmtId="0" fontId="28" fillId="0" borderId="10" xfId="0" quotePrefix="1" applyFont="1" applyBorder="1" applyAlignment="1">
      <alignment horizontal="center" vertical="center" wrapText="1"/>
    </xf>
    <xf numFmtId="0" fontId="28" fillId="0" borderId="10" xfId="0" applyFont="1" applyBorder="1" applyAlignment="1">
      <alignment horizontal="center" vertical="center" wrapText="1"/>
    </xf>
    <xf numFmtId="49" fontId="26" fillId="0" borderId="67" xfId="0" quotePrefix="1" applyNumberFormat="1" applyFont="1" applyBorder="1" applyAlignment="1">
      <alignment horizontal="center" vertical="center" wrapText="1"/>
    </xf>
    <xf numFmtId="0" fontId="26" fillId="0" borderId="6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6" xfId="0" applyFont="1" applyBorder="1" applyAlignment="1">
      <alignment horizontal="center" vertical="center" wrapText="1"/>
    </xf>
    <xf numFmtId="0" fontId="26" fillId="26" borderId="67" xfId="0" applyFont="1" applyFill="1" applyBorder="1" applyAlignment="1">
      <alignment horizontal="center" vertical="center" wrapText="1"/>
    </xf>
    <xf numFmtId="0" fontId="26" fillId="26" borderId="28" xfId="0" applyFont="1" applyFill="1" applyBorder="1" applyAlignment="1">
      <alignment horizontal="center" vertical="center" wrapText="1"/>
    </xf>
    <xf numFmtId="0" fontId="26" fillId="26" borderId="68" xfId="0" applyFont="1" applyFill="1" applyBorder="1" applyAlignment="1">
      <alignment horizontal="center" vertical="center" wrapText="1"/>
    </xf>
    <xf numFmtId="0" fontId="26" fillId="26" borderId="35" xfId="0" applyFont="1" applyFill="1" applyBorder="1" applyAlignment="1">
      <alignment horizontal="center" vertical="center" wrapText="1"/>
    </xf>
    <xf numFmtId="0" fontId="26" fillId="26" borderId="11" xfId="0" applyFont="1" applyFill="1" applyBorder="1" applyAlignment="1">
      <alignment horizontal="center" vertical="center" wrapText="1"/>
    </xf>
    <xf numFmtId="0" fontId="26" fillId="26" borderId="36" xfId="0" applyFont="1" applyFill="1" applyBorder="1" applyAlignment="1">
      <alignment horizontal="center" vertical="center" wrapText="1"/>
    </xf>
    <xf numFmtId="165" fontId="27" fillId="26" borderId="56" xfId="0" applyNumberFormat="1" applyFont="1" applyFill="1" applyBorder="1" applyAlignment="1">
      <alignment horizontal="center" vertical="center" wrapText="1"/>
    </xf>
    <xf numFmtId="165" fontId="27" fillId="26" borderId="66" xfId="0" applyNumberFormat="1" applyFont="1" applyFill="1" applyBorder="1" applyAlignment="1">
      <alignment horizontal="center" vertical="center" wrapText="1"/>
    </xf>
    <xf numFmtId="165" fontId="27" fillId="26" borderId="59" xfId="0" applyNumberFormat="1" applyFont="1" applyFill="1" applyBorder="1" applyAlignment="1">
      <alignment horizontal="center" vertical="center" wrapText="1"/>
    </xf>
    <xf numFmtId="49" fontId="71" fillId="0" borderId="29" xfId="0" applyNumberFormat="1" applyFont="1" applyBorder="1" applyAlignment="1">
      <alignment horizontal="center" vertical="center" wrapText="1"/>
    </xf>
    <xf numFmtId="49" fontId="26" fillId="26" borderId="29" xfId="0" applyNumberFormat="1" applyFont="1" applyFill="1" applyBorder="1" applyAlignment="1">
      <alignment horizontal="center" vertical="center" wrapText="1"/>
    </xf>
    <xf numFmtId="49" fontId="26" fillId="26" borderId="23" xfId="0" applyNumberFormat="1" applyFont="1" applyFill="1" applyBorder="1" applyAlignment="1">
      <alignment horizontal="center" vertical="center" wrapText="1"/>
    </xf>
    <xf numFmtId="49" fontId="26" fillId="26" borderId="24" xfId="0" applyNumberFormat="1" applyFont="1" applyFill="1" applyBorder="1" applyAlignment="1">
      <alignment horizontal="center" vertical="center" wrapText="1"/>
    </xf>
    <xf numFmtId="0" fontId="28" fillId="0" borderId="6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0" xfId="0" applyFont="1" applyAlignment="1">
      <alignment horizontal="center" vertical="center" wrapText="1"/>
    </xf>
    <xf numFmtId="0" fontId="28" fillId="0" borderId="25"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3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0" xfId="0" applyFont="1" applyAlignment="1">
      <alignment horizontal="center" vertical="center" wrapText="1"/>
    </xf>
    <xf numFmtId="0" fontId="26" fillId="0" borderId="25" xfId="0" applyFont="1" applyBorder="1" applyAlignment="1">
      <alignment horizontal="center" vertical="center" wrapText="1"/>
    </xf>
    <xf numFmtId="0" fontId="29" fillId="24" borderId="67" xfId="71" applyFont="1" applyFill="1" applyBorder="1" applyAlignment="1">
      <alignment horizontal="center" vertical="center"/>
    </xf>
    <xf numFmtId="0" fontId="29" fillId="24" borderId="28" xfId="71" applyFont="1" applyFill="1" applyBorder="1" applyAlignment="1">
      <alignment horizontal="center" vertical="center"/>
    </xf>
    <xf numFmtId="0" fontId="29" fillId="24" borderId="68" xfId="71" applyFont="1" applyFill="1" applyBorder="1" applyAlignment="1">
      <alignment horizontal="center" vertical="center"/>
    </xf>
    <xf numFmtId="0" fontId="29" fillId="24" borderId="35" xfId="71" applyFont="1" applyFill="1" applyBorder="1" applyAlignment="1">
      <alignment horizontal="center" vertical="center"/>
    </xf>
    <xf numFmtId="0" fontId="29" fillId="24" borderId="11" xfId="71" applyFont="1" applyFill="1" applyBorder="1" applyAlignment="1">
      <alignment horizontal="center" vertical="center"/>
    </xf>
    <xf numFmtId="0" fontId="29" fillId="24" borderId="36" xfId="71" applyFont="1" applyFill="1" applyBorder="1" applyAlignment="1">
      <alignment horizontal="center" vertical="center"/>
    </xf>
    <xf numFmtId="165" fontId="27" fillId="24" borderId="10" xfId="71" applyNumberFormat="1" applyFont="1" applyFill="1" applyBorder="1" applyAlignment="1">
      <alignment horizontal="center" vertical="center" wrapText="1"/>
    </xf>
    <xf numFmtId="0" fontId="29" fillId="24" borderId="10" xfId="71" applyFont="1" applyFill="1" applyBorder="1" applyAlignment="1">
      <alignment horizontal="center" vertical="center"/>
    </xf>
    <xf numFmtId="168" fontId="28" fillId="24" borderId="29" xfId="49" applyNumberFormat="1" applyFont="1" applyFill="1" applyBorder="1" applyAlignment="1">
      <alignment horizontal="center" vertical="center"/>
    </xf>
    <xf numFmtId="168" fontId="28" fillId="24" borderId="23" xfId="49" applyNumberFormat="1" applyFont="1" applyFill="1" applyBorder="1" applyAlignment="1">
      <alignment horizontal="center" vertical="center"/>
    </xf>
    <xf numFmtId="168" fontId="28" fillId="24" borderId="24" xfId="49" applyNumberFormat="1" applyFont="1" applyFill="1" applyBorder="1" applyAlignment="1">
      <alignment horizontal="center" vertical="center"/>
    </xf>
    <xf numFmtId="168" fontId="26" fillId="24" borderId="29" xfId="49" applyNumberFormat="1" applyFont="1" applyFill="1" applyBorder="1" applyAlignment="1">
      <alignment horizontal="center" vertical="center" wrapText="1"/>
    </xf>
    <xf numFmtId="168" fontId="26" fillId="24" borderId="23" xfId="49" applyNumberFormat="1" applyFont="1" applyFill="1" applyBorder="1" applyAlignment="1">
      <alignment horizontal="center" vertical="center" wrapText="1"/>
    </xf>
    <xf numFmtId="168" fontId="26" fillId="24" borderId="24" xfId="49" applyNumberFormat="1" applyFont="1" applyFill="1" applyBorder="1" applyAlignment="1">
      <alignment horizontal="center" vertical="center" wrapText="1"/>
    </xf>
    <xf numFmtId="168" fontId="26" fillId="24" borderId="67" xfId="49" applyNumberFormat="1" applyFont="1" applyFill="1" applyBorder="1" applyAlignment="1">
      <alignment horizontal="center" vertical="center" wrapText="1"/>
    </xf>
    <xf numFmtId="168" fontId="26" fillId="24" borderId="28" xfId="49" applyNumberFormat="1" applyFont="1" applyFill="1" applyBorder="1" applyAlignment="1">
      <alignment horizontal="center" vertical="center" wrapText="1"/>
    </xf>
    <xf numFmtId="168" fontId="26" fillId="24" borderId="68" xfId="49" applyNumberFormat="1" applyFont="1" applyFill="1" applyBorder="1" applyAlignment="1">
      <alignment horizontal="center" vertical="center" wrapText="1"/>
    </xf>
    <xf numFmtId="168" fontId="26" fillId="24" borderId="27" xfId="49" applyNumberFormat="1" applyFont="1" applyFill="1" applyBorder="1" applyAlignment="1">
      <alignment horizontal="center" vertical="center" wrapText="1"/>
    </xf>
    <xf numFmtId="168" fontId="26" fillId="24" borderId="0" xfId="49" applyNumberFormat="1" applyFont="1" applyFill="1" applyBorder="1" applyAlignment="1">
      <alignment horizontal="center" vertical="center" wrapText="1"/>
    </xf>
    <xf numFmtId="168" fontId="26" fillId="24" borderId="25" xfId="49" applyNumberFormat="1" applyFont="1" applyFill="1" applyBorder="1" applyAlignment="1">
      <alignment horizontal="center" vertical="center" wrapText="1"/>
    </xf>
    <xf numFmtId="168" fontId="26" fillId="24" borderId="35" xfId="49" applyNumberFormat="1" applyFont="1" applyFill="1" applyBorder="1" applyAlignment="1">
      <alignment horizontal="center" vertical="center" wrapText="1"/>
    </xf>
    <xf numFmtId="168" fontId="26" fillId="24" borderId="11" xfId="49" applyNumberFormat="1" applyFont="1" applyFill="1" applyBorder="1" applyAlignment="1">
      <alignment horizontal="center" vertical="center" wrapText="1"/>
    </xf>
    <xf numFmtId="168" fontId="26" fillId="24" borderId="36" xfId="49" applyNumberFormat="1" applyFont="1" applyFill="1" applyBorder="1" applyAlignment="1">
      <alignment horizontal="center" vertical="center" wrapText="1"/>
    </xf>
    <xf numFmtId="168" fontId="28" fillId="26" borderId="67" xfId="49" applyNumberFormat="1" applyFont="1" applyFill="1" applyBorder="1" applyAlignment="1">
      <alignment horizontal="center" vertical="center" wrapText="1"/>
    </xf>
    <xf numFmtId="168" fontId="28" fillId="26" borderId="28" xfId="49" applyNumberFormat="1" applyFont="1" applyFill="1" applyBorder="1" applyAlignment="1">
      <alignment horizontal="center" vertical="center" wrapText="1"/>
    </xf>
    <xf numFmtId="168" fontId="28" fillId="26" borderId="68" xfId="49" applyNumberFormat="1" applyFont="1" applyFill="1" applyBorder="1" applyAlignment="1">
      <alignment horizontal="center" vertical="center" wrapText="1"/>
    </xf>
    <xf numFmtId="168" fontId="28" fillId="26" borderId="35" xfId="49" applyNumberFormat="1" applyFont="1" applyFill="1" applyBorder="1" applyAlignment="1">
      <alignment horizontal="center" vertical="center" wrapText="1"/>
    </xf>
    <xf numFmtId="168" fontId="28" fillId="26" borderId="11" xfId="49" applyNumberFormat="1" applyFont="1" applyFill="1" applyBorder="1" applyAlignment="1">
      <alignment horizontal="center" vertical="center" wrapText="1"/>
    </xf>
    <xf numFmtId="168" fontId="28" fillId="26" borderId="36" xfId="49" applyNumberFormat="1" applyFont="1" applyFill="1" applyBorder="1" applyAlignment="1">
      <alignment horizontal="center" vertical="center" wrapText="1"/>
    </xf>
    <xf numFmtId="168" fontId="28" fillId="26" borderId="29" xfId="49" applyNumberFormat="1" applyFont="1" applyFill="1" applyBorder="1" applyAlignment="1">
      <alignment horizontal="center" vertical="center" wrapText="1"/>
    </xf>
    <xf numFmtId="168" fontId="28" fillId="26" borderId="23" xfId="49" applyNumberFormat="1" applyFont="1" applyFill="1" applyBorder="1" applyAlignment="1">
      <alignment horizontal="center" vertical="center" wrapText="1"/>
    </xf>
    <xf numFmtId="168" fontId="28" fillId="26" borderId="24" xfId="49" applyNumberFormat="1" applyFont="1" applyFill="1" applyBorder="1" applyAlignment="1">
      <alignment horizontal="center" vertical="center" wrapText="1"/>
    </xf>
    <xf numFmtId="168" fontId="28" fillId="26" borderId="27" xfId="49" applyNumberFormat="1" applyFont="1" applyFill="1" applyBorder="1" applyAlignment="1">
      <alignment horizontal="center" vertical="center" wrapText="1"/>
    </xf>
    <xf numFmtId="168" fontId="28" fillId="26" borderId="0" xfId="49" applyNumberFormat="1" applyFont="1" applyFill="1" applyBorder="1" applyAlignment="1">
      <alignment horizontal="center" vertical="center" wrapText="1"/>
    </xf>
    <xf numFmtId="168" fontId="28" fillId="26" borderId="25" xfId="49" applyNumberFormat="1" applyFont="1" applyFill="1" applyBorder="1" applyAlignment="1">
      <alignment horizontal="center" vertical="center" wrapText="1"/>
    </xf>
    <xf numFmtId="168" fontId="26" fillId="24" borderId="29" xfId="50" applyNumberFormat="1" applyFont="1" applyFill="1" applyBorder="1" applyAlignment="1">
      <alignment horizontal="center" vertical="center" wrapText="1"/>
    </xf>
    <xf numFmtId="168" fontId="26" fillId="24" borderId="23" xfId="50" applyNumberFormat="1" applyFont="1" applyFill="1" applyBorder="1" applyAlignment="1">
      <alignment horizontal="center" vertical="center" wrapText="1"/>
    </xf>
    <xf numFmtId="168" fontId="26" fillId="24" borderId="24" xfId="50" applyNumberFormat="1" applyFont="1" applyFill="1" applyBorder="1" applyAlignment="1">
      <alignment horizontal="center" vertical="center" wrapText="1"/>
    </xf>
    <xf numFmtId="168" fontId="28" fillId="26" borderId="67" xfId="50" applyNumberFormat="1" applyFont="1" applyFill="1" applyBorder="1" applyAlignment="1">
      <alignment horizontal="center" vertical="center" wrapText="1"/>
    </xf>
    <xf numFmtId="168" fontId="28" fillId="26" borderId="28" xfId="50" applyNumberFormat="1" applyFont="1" applyFill="1" applyBorder="1" applyAlignment="1">
      <alignment horizontal="center" vertical="center" wrapText="1"/>
    </xf>
    <xf numFmtId="168" fontId="28" fillId="26" borderId="68" xfId="50" applyNumberFormat="1" applyFont="1" applyFill="1" applyBorder="1" applyAlignment="1">
      <alignment horizontal="center" vertical="center" wrapText="1"/>
    </xf>
    <xf numFmtId="168" fontId="28" fillId="26" borderId="35" xfId="50" applyNumberFormat="1" applyFont="1" applyFill="1" applyBorder="1" applyAlignment="1">
      <alignment horizontal="center" vertical="center" wrapText="1"/>
    </xf>
    <xf numFmtId="168" fontId="28" fillId="26" borderId="11" xfId="50" applyNumberFormat="1" applyFont="1" applyFill="1" applyBorder="1" applyAlignment="1">
      <alignment horizontal="center" vertical="center" wrapText="1"/>
    </xf>
    <xf numFmtId="168" fontId="28" fillId="26" borderId="36" xfId="50" applyNumberFormat="1" applyFont="1" applyFill="1" applyBorder="1" applyAlignment="1">
      <alignment horizontal="center" vertical="center" wrapText="1"/>
    </xf>
    <xf numFmtId="168" fontId="26" fillId="24" borderId="67" xfId="50" applyNumberFormat="1" applyFont="1" applyFill="1" applyBorder="1" applyAlignment="1">
      <alignment horizontal="center" vertical="center" wrapText="1"/>
    </xf>
    <xf numFmtId="168" fontId="26" fillId="24" borderId="28" xfId="50" applyNumberFormat="1" applyFont="1" applyFill="1" applyBorder="1" applyAlignment="1">
      <alignment horizontal="center" vertical="center" wrapText="1"/>
    </xf>
    <xf numFmtId="168" fontId="26" fillId="24" borderId="68" xfId="50" applyNumberFormat="1" applyFont="1" applyFill="1" applyBorder="1" applyAlignment="1">
      <alignment horizontal="center" vertical="center" wrapText="1"/>
    </xf>
    <xf numFmtId="0" fontId="29" fillId="24" borderId="67" xfId="72" applyFont="1" applyFill="1" applyBorder="1" applyAlignment="1">
      <alignment horizontal="center" vertical="center"/>
    </xf>
    <xf numFmtId="0" fontId="29" fillId="24" borderId="28" xfId="72" applyFont="1" applyFill="1" applyBorder="1" applyAlignment="1">
      <alignment horizontal="center" vertical="center"/>
    </xf>
    <xf numFmtId="0" fontId="29" fillId="24" borderId="68" xfId="72" applyFont="1" applyFill="1" applyBorder="1" applyAlignment="1">
      <alignment horizontal="center" vertical="center"/>
    </xf>
    <xf numFmtId="0" fontId="29" fillId="24" borderId="10" xfId="72" applyFont="1" applyFill="1" applyBorder="1" applyAlignment="1">
      <alignment horizontal="center" vertical="center"/>
    </xf>
    <xf numFmtId="165" fontId="27" fillId="24" borderId="10" xfId="72" applyNumberFormat="1" applyFont="1" applyFill="1" applyBorder="1" applyAlignment="1">
      <alignment horizontal="center" vertical="center" wrapText="1"/>
    </xf>
    <xf numFmtId="168" fontId="33" fillId="24" borderId="23" xfId="49" applyNumberFormat="1" applyFont="1" applyFill="1" applyBorder="1" applyAlignment="1">
      <alignment horizontal="center" vertical="center" wrapText="1"/>
    </xf>
    <xf numFmtId="168" fontId="33" fillId="24" borderId="29" xfId="50" applyNumberFormat="1" applyFont="1" applyFill="1" applyBorder="1" applyAlignment="1">
      <alignment horizontal="center" vertical="center"/>
    </xf>
    <xf numFmtId="168" fontId="33" fillId="24" borderId="23" xfId="50" applyNumberFormat="1" applyFont="1" applyFill="1" applyBorder="1" applyAlignment="1">
      <alignment horizontal="center" vertical="center"/>
    </xf>
    <xf numFmtId="168" fontId="26" fillId="24" borderId="27" xfId="50" applyNumberFormat="1" applyFont="1" applyFill="1" applyBorder="1" applyAlignment="1">
      <alignment horizontal="center" vertical="center" wrapText="1"/>
    </xf>
    <xf numFmtId="168" fontId="26" fillId="24" borderId="0" xfId="50" applyNumberFormat="1" applyFont="1" applyFill="1" applyBorder="1" applyAlignment="1">
      <alignment horizontal="center" vertical="center" wrapText="1"/>
    </xf>
    <xf numFmtId="168" fontId="26" fillId="24" borderId="25" xfId="50" applyNumberFormat="1" applyFont="1" applyFill="1" applyBorder="1" applyAlignment="1">
      <alignment horizontal="center" vertical="center" wrapText="1"/>
    </xf>
    <xf numFmtId="168" fontId="26" fillId="24" borderId="35" xfId="50" applyNumberFormat="1" applyFont="1" applyFill="1" applyBorder="1" applyAlignment="1">
      <alignment horizontal="center" vertical="center" wrapText="1"/>
    </xf>
    <xf numFmtId="168" fontId="26" fillId="24" borderId="11" xfId="50" applyNumberFormat="1" applyFont="1" applyFill="1" applyBorder="1" applyAlignment="1">
      <alignment horizontal="center" vertical="center" wrapText="1"/>
    </xf>
    <xf numFmtId="168" fontId="26" fillId="24" borderId="36" xfId="50" applyNumberFormat="1" applyFont="1" applyFill="1" applyBorder="1" applyAlignment="1">
      <alignment horizontal="center" vertical="center" wrapText="1"/>
    </xf>
    <xf numFmtId="168" fontId="33" fillId="24" borderId="24" xfId="50" applyNumberFormat="1" applyFont="1" applyFill="1" applyBorder="1" applyAlignment="1">
      <alignment horizontal="center" vertical="center"/>
    </xf>
    <xf numFmtId="168" fontId="28" fillId="24" borderId="29" xfId="50" applyNumberFormat="1" applyFont="1" applyFill="1" applyBorder="1" applyAlignment="1">
      <alignment horizontal="center" vertical="center" wrapText="1"/>
    </xf>
    <xf numFmtId="168" fontId="28" fillId="24" borderId="23" xfId="50" applyNumberFormat="1" applyFont="1" applyFill="1" applyBorder="1" applyAlignment="1">
      <alignment horizontal="center" vertical="center" wrapText="1"/>
    </xf>
    <xf numFmtId="168" fontId="28" fillId="24" borderId="24" xfId="50" applyNumberFormat="1" applyFont="1" applyFill="1" applyBorder="1" applyAlignment="1">
      <alignment horizontal="center" vertical="center" wrapText="1"/>
    </xf>
    <xf numFmtId="168" fontId="28" fillId="26" borderId="29" xfId="50" applyNumberFormat="1" applyFont="1" applyFill="1" applyBorder="1" applyAlignment="1">
      <alignment horizontal="center" vertical="center" wrapText="1"/>
    </xf>
    <xf numFmtId="168" fontId="28" fillId="26" borderId="23" xfId="50" applyNumberFormat="1" applyFont="1" applyFill="1" applyBorder="1" applyAlignment="1">
      <alignment horizontal="center" vertical="center" wrapText="1"/>
    </xf>
    <xf numFmtId="168" fontId="28" fillId="26" borderId="24" xfId="50" applyNumberFormat="1" applyFont="1" applyFill="1" applyBorder="1" applyAlignment="1">
      <alignment horizontal="center" vertical="center" wrapText="1"/>
    </xf>
    <xf numFmtId="0" fontId="28" fillId="26" borderId="67" xfId="0" applyFont="1" applyFill="1" applyBorder="1" applyAlignment="1">
      <alignment horizontal="center" vertical="center" wrapText="1"/>
    </xf>
    <xf numFmtId="0" fontId="28" fillId="26" borderId="28" xfId="0" applyFont="1" applyFill="1" applyBorder="1" applyAlignment="1">
      <alignment horizontal="center" vertical="center" wrapText="1"/>
    </xf>
    <xf numFmtId="0" fontId="28" fillId="26" borderId="68" xfId="0" applyFont="1" applyFill="1" applyBorder="1" applyAlignment="1">
      <alignment horizontal="center" vertical="center" wrapText="1"/>
    </xf>
    <xf numFmtId="0" fontId="28" fillId="26" borderId="27" xfId="0" applyFont="1" applyFill="1" applyBorder="1" applyAlignment="1">
      <alignment horizontal="center" vertical="center" wrapText="1"/>
    </xf>
    <xf numFmtId="0" fontId="28" fillId="26" borderId="0" xfId="0" applyFont="1" applyFill="1" applyAlignment="1">
      <alignment horizontal="center" vertical="center" wrapText="1"/>
    </xf>
    <xf numFmtId="0" fontId="28" fillId="26" borderId="25" xfId="0" applyFont="1" applyFill="1" applyBorder="1" applyAlignment="1">
      <alignment horizontal="center" vertical="center" wrapText="1"/>
    </xf>
    <xf numFmtId="0" fontId="28" fillId="26" borderId="35"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28" fillId="26" borderId="36" xfId="0" applyFont="1" applyFill="1" applyBorder="1" applyAlignment="1">
      <alignment horizontal="center" vertical="center" wrapText="1"/>
    </xf>
    <xf numFmtId="0" fontId="27" fillId="26" borderId="67" xfId="0" applyFont="1" applyFill="1" applyBorder="1" applyAlignment="1">
      <alignment horizontal="center" vertical="center" wrapText="1"/>
    </xf>
    <xf numFmtId="0" fontId="27" fillId="26" borderId="28" xfId="0" applyFont="1" applyFill="1" applyBorder="1" applyAlignment="1">
      <alignment horizontal="center" vertical="center" wrapText="1"/>
    </xf>
    <xf numFmtId="0" fontId="27" fillId="26" borderId="35" xfId="0" applyFont="1" applyFill="1" applyBorder="1" applyAlignment="1">
      <alignment horizontal="center" vertical="center" wrapText="1"/>
    </xf>
    <xf numFmtId="0" fontId="27" fillId="26" borderId="11" xfId="0" applyFont="1" applyFill="1" applyBorder="1" applyAlignment="1">
      <alignment horizontal="center" vertical="center" wrapText="1"/>
    </xf>
    <xf numFmtId="0" fontId="29" fillId="26" borderId="29" xfId="0" applyFont="1" applyFill="1" applyBorder="1" applyAlignment="1">
      <alignment horizontal="center" vertical="center" wrapText="1"/>
    </xf>
    <xf numFmtId="0" fontId="29" fillId="26" borderId="23" xfId="0" applyFont="1" applyFill="1" applyBorder="1" applyAlignment="1">
      <alignment horizontal="center" vertical="center" wrapText="1"/>
    </xf>
    <xf numFmtId="0" fontId="29" fillId="26" borderId="24" xfId="0" applyFont="1" applyFill="1" applyBorder="1" applyAlignment="1">
      <alignment horizontal="center" vertical="center" wrapText="1"/>
    </xf>
    <xf numFmtId="0" fontId="27" fillId="24" borderId="29" xfId="0" applyFont="1" applyFill="1" applyBorder="1" applyAlignment="1">
      <alignment horizontal="center" wrapText="1"/>
    </xf>
    <xf numFmtId="0" fontId="27" fillId="24" borderId="23" xfId="0" applyFont="1" applyFill="1" applyBorder="1" applyAlignment="1">
      <alignment horizontal="center" wrapText="1"/>
    </xf>
    <xf numFmtId="0" fontId="27" fillId="24" borderId="24" xfId="0" applyFont="1" applyFill="1" applyBorder="1" applyAlignment="1">
      <alignment horizontal="center" wrapText="1"/>
    </xf>
    <xf numFmtId="0" fontId="29" fillId="26" borderId="29" xfId="0" applyFont="1" applyFill="1" applyBorder="1" applyAlignment="1">
      <alignment horizontal="center" vertical="center"/>
    </xf>
    <xf numFmtId="0" fontId="29" fillId="26" borderId="23" xfId="0" applyFont="1" applyFill="1" applyBorder="1" applyAlignment="1">
      <alignment horizontal="center" vertical="center"/>
    </xf>
    <xf numFmtId="0" fontId="29" fillId="26" borderId="24" xfId="0" applyFont="1" applyFill="1" applyBorder="1" applyAlignment="1">
      <alignment horizontal="center" vertical="center"/>
    </xf>
    <xf numFmtId="165" fontId="27" fillId="26" borderId="29" xfId="0" applyNumberFormat="1" applyFont="1" applyFill="1" applyBorder="1" applyAlignment="1">
      <alignment horizontal="center" vertical="center" wrapText="1"/>
    </xf>
    <xf numFmtId="0" fontId="31" fillId="0" borderId="41" xfId="0" applyFont="1" applyBorder="1" applyAlignment="1">
      <alignment horizontal="center" vertical="center" wrapText="1"/>
    </xf>
    <xf numFmtId="0" fontId="31" fillId="0" borderId="18" xfId="0" applyFont="1" applyBorder="1" applyAlignment="1">
      <alignment horizontal="center" vertical="center" wrapText="1"/>
    </xf>
    <xf numFmtId="0" fontId="30" fillId="24" borderId="29" xfId="0" applyFont="1" applyFill="1" applyBorder="1" applyAlignment="1">
      <alignment horizontal="center" vertical="center" wrapText="1"/>
    </xf>
    <xf numFmtId="0" fontId="30" fillId="24" borderId="23" xfId="0" applyFont="1" applyFill="1" applyBorder="1" applyAlignment="1">
      <alignment horizontal="center" vertical="center" wrapText="1"/>
    </xf>
    <xf numFmtId="0" fontId="30" fillId="24" borderId="24" xfId="0" applyFont="1" applyFill="1" applyBorder="1" applyAlignment="1">
      <alignment horizontal="center" vertical="center" wrapText="1"/>
    </xf>
    <xf numFmtId="0" fontId="31" fillId="24" borderId="41" xfId="0" applyFont="1" applyFill="1" applyBorder="1" applyAlignment="1">
      <alignment horizontal="center" wrapText="1"/>
    </xf>
    <xf numFmtId="0" fontId="31" fillId="24" borderId="18" xfId="0" applyFont="1" applyFill="1" applyBorder="1" applyAlignment="1">
      <alignment horizontal="center" wrapText="1"/>
    </xf>
    <xf numFmtId="0" fontId="31" fillId="24" borderId="41" xfId="0" applyFont="1" applyFill="1" applyBorder="1" applyAlignment="1">
      <alignment horizontal="center" vertical="center"/>
    </xf>
    <xf numFmtId="0" fontId="31" fillId="26" borderId="18" xfId="0" applyFont="1" applyFill="1" applyBorder="1" applyAlignment="1">
      <alignment horizontal="center" vertical="center"/>
    </xf>
    <xf numFmtId="0" fontId="31" fillId="24" borderId="18" xfId="0" applyFont="1" applyFill="1" applyBorder="1" applyAlignment="1">
      <alignment horizontal="center" vertical="center"/>
    </xf>
    <xf numFmtId="0" fontId="30" fillId="26" borderId="56" xfId="0" applyFont="1" applyFill="1" applyBorder="1" applyAlignment="1">
      <alignment horizontal="center" vertical="center"/>
    </xf>
    <xf numFmtId="0" fontId="30" fillId="26" borderId="59" xfId="0" applyFont="1" applyFill="1" applyBorder="1" applyAlignment="1">
      <alignment horizontal="center" vertical="center"/>
    </xf>
    <xf numFmtId="0" fontId="30" fillId="24" borderId="56" xfId="0" applyFont="1" applyFill="1" applyBorder="1" applyAlignment="1">
      <alignment horizontal="center" vertical="center" textRotation="90"/>
    </xf>
    <xf numFmtId="0" fontId="30" fillId="24" borderId="59" xfId="0" applyFont="1" applyFill="1" applyBorder="1" applyAlignment="1">
      <alignment horizontal="center" vertical="center" textRotation="90"/>
    </xf>
    <xf numFmtId="0" fontId="48" fillId="24" borderId="0" xfId="0" applyFont="1" applyFill="1" applyAlignment="1">
      <alignment horizontal="center" vertical="center"/>
    </xf>
    <xf numFmtId="49" fontId="31" fillId="0" borderId="41" xfId="0" quotePrefix="1" applyNumberFormat="1" applyFont="1" applyBorder="1" applyAlignment="1">
      <alignment horizontal="center" vertical="center"/>
    </xf>
    <xf numFmtId="49" fontId="31" fillId="0" borderId="18" xfId="0" applyNumberFormat="1" applyFont="1" applyBorder="1" applyAlignment="1">
      <alignment horizontal="center" vertical="center"/>
    </xf>
    <xf numFmtId="0" fontId="30" fillId="24" borderId="10" xfId="0" applyFont="1" applyFill="1" applyBorder="1" applyAlignment="1">
      <alignment horizontal="center" vertical="center" textRotation="90" wrapText="1"/>
    </xf>
    <xf numFmtId="0" fontId="30" fillId="24" borderId="10" xfId="0" applyFont="1" applyFill="1" applyBorder="1" applyAlignment="1">
      <alignment horizontal="center" vertical="center" textRotation="90"/>
    </xf>
    <xf numFmtId="49" fontId="31" fillId="24" borderId="41" xfId="0" applyNumberFormat="1" applyFont="1" applyFill="1" applyBorder="1" applyAlignment="1">
      <alignment horizontal="center" vertical="center"/>
    </xf>
    <xf numFmtId="49" fontId="31" fillId="24" borderId="18" xfId="0" applyNumberFormat="1" applyFont="1" applyFill="1" applyBorder="1" applyAlignment="1">
      <alignment horizontal="center" vertical="center"/>
    </xf>
    <xf numFmtId="0" fontId="30" fillId="24" borderId="41" xfId="0" applyFont="1" applyFill="1" applyBorder="1" applyAlignment="1">
      <alignment horizontal="center" vertical="center"/>
    </xf>
    <xf numFmtId="0" fontId="30" fillId="24" borderId="18" xfId="0" applyFont="1" applyFill="1" applyBorder="1" applyAlignment="1">
      <alignment horizontal="center" vertical="center"/>
    </xf>
    <xf numFmtId="49" fontId="31" fillId="0" borderId="41" xfId="0" applyNumberFormat="1" applyFont="1" applyBorder="1" applyAlignment="1">
      <alignment horizontal="center" vertical="center"/>
    </xf>
    <xf numFmtId="0" fontId="31" fillId="24" borderId="41" xfId="0" applyFont="1" applyFill="1" applyBorder="1" applyAlignment="1">
      <alignment horizontal="center" vertical="center" wrapText="1"/>
    </xf>
    <xf numFmtId="0" fontId="31" fillId="24" borderId="18" xfId="0" applyFont="1" applyFill="1" applyBorder="1" applyAlignment="1">
      <alignment horizontal="center" vertical="center" wrapText="1"/>
    </xf>
    <xf numFmtId="0" fontId="30" fillId="0" borderId="41" xfId="0" applyFont="1" applyBorder="1" applyAlignment="1">
      <alignment horizontal="center" vertical="center"/>
    </xf>
    <xf numFmtId="0" fontId="30" fillId="0" borderId="18" xfId="0" applyFont="1" applyBorder="1" applyAlignment="1">
      <alignment horizontal="center" vertical="center"/>
    </xf>
    <xf numFmtId="0" fontId="33" fillId="24" borderId="0" xfId="0" applyFont="1" applyFill="1" applyAlignment="1">
      <alignment horizontal="center"/>
    </xf>
    <xf numFmtId="0" fontId="31" fillId="0" borderId="41" xfId="0" quotePrefix="1" applyFont="1" applyBorder="1" applyAlignment="1">
      <alignment horizontal="center" vertical="center"/>
    </xf>
    <xf numFmtId="0" fontId="31" fillId="0" borderId="18" xfId="0" applyFont="1" applyBorder="1" applyAlignment="1">
      <alignment horizontal="center" vertical="center"/>
    </xf>
    <xf numFmtId="0" fontId="29" fillId="0" borderId="67" xfId="0" applyFont="1" applyBorder="1" applyAlignment="1">
      <alignment horizontal="center" vertical="center"/>
    </xf>
    <xf numFmtId="0" fontId="29" fillId="0" borderId="28" xfId="0" applyFont="1" applyBorder="1" applyAlignment="1">
      <alignment horizontal="center" vertical="center"/>
    </xf>
    <xf numFmtId="0" fontId="29" fillId="0" borderId="68" xfId="0" applyFont="1" applyBorder="1" applyAlignment="1">
      <alignment horizontal="center" vertical="center"/>
    </xf>
    <xf numFmtId="0" fontId="29" fillId="0" borderId="35" xfId="0" applyFont="1" applyBorder="1" applyAlignment="1">
      <alignment horizontal="center" vertical="center"/>
    </xf>
    <xf numFmtId="0" fontId="29" fillId="0" borderId="11" xfId="0" applyFont="1" applyBorder="1" applyAlignment="1">
      <alignment horizontal="center" vertical="center"/>
    </xf>
    <xf numFmtId="0" fontId="29" fillId="0" borderId="36" xfId="0" applyFont="1" applyBorder="1" applyAlignment="1">
      <alignment horizontal="center" vertical="center"/>
    </xf>
    <xf numFmtId="0" fontId="30" fillId="24" borderId="68" xfId="0" applyFont="1" applyFill="1" applyBorder="1" applyAlignment="1">
      <alignment horizontal="center" vertical="center"/>
    </xf>
    <xf numFmtId="0" fontId="30" fillId="24" borderId="36" xfId="0" applyFont="1" applyFill="1" applyBorder="1" applyAlignment="1">
      <alignment horizontal="center" vertical="center"/>
    </xf>
    <xf numFmtId="168" fontId="30" fillId="24" borderId="18" xfId="41" applyNumberFormat="1" applyFont="1" applyFill="1" applyBorder="1" applyAlignment="1">
      <alignment horizontal="center" vertical="center" wrapText="1"/>
    </xf>
    <xf numFmtId="168" fontId="30" fillId="24" borderId="19" xfId="41" applyNumberFormat="1" applyFont="1" applyFill="1" applyBorder="1" applyAlignment="1">
      <alignment horizontal="center" vertical="center" wrapText="1"/>
    </xf>
    <xf numFmtId="168" fontId="30" fillId="0" borderId="55" xfId="41" applyNumberFormat="1" applyFont="1" applyFill="1" applyBorder="1" applyAlignment="1">
      <alignment horizontal="center" vertical="center" wrapText="1"/>
    </xf>
    <xf numFmtId="168" fontId="30" fillId="0" borderId="18" xfId="41" applyNumberFormat="1" applyFont="1" applyFill="1" applyBorder="1" applyAlignment="1">
      <alignment horizontal="center" vertical="center" wrapText="1"/>
    </xf>
    <xf numFmtId="0" fontId="30" fillId="24" borderId="64" xfId="0" applyFont="1" applyFill="1" applyBorder="1" applyAlignment="1">
      <alignment horizontal="center" vertical="center" wrapText="1"/>
    </xf>
    <xf numFmtId="0" fontId="32" fillId="0" borderId="35" xfId="0" applyFont="1" applyBorder="1" applyAlignment="1">
      <alignment horizontal="center" vertical="center"/>
    </xf>
    <xf numFmtId="0" fontId="32" fillId="0" borderId="11" xfId="0" applyFont="1" applyBorder="1" applyAlignment="1">
      <alignment horizontal="center" vertical="center"/>
    </xf>
    <xf numFmtId="0" fontId="32" fillId="0" borderId="36" xfId="0" applyFont="1" applyBorder="1" applyAlignment="1">
      <alignment horizontal="center" vertical="center"/>
    </xf>
    <xf numFmtId="0" fontId="30" fillId="26" borderId="41" xfId="0" applyFont="1" applyFill="1" applyBorder="1" applyAlignment="1">
      <alignment horizontal="center" vertical="center"/>
    </xf>
    <xf numFmtId="0" fontId="30" fillId="26" borderId="18" xfId="0" applyFont="1" applyFill="1" applyBorder="1" applyAlignment="1">
      <alignment horizontal="center" vertical="center"/>
    </xf>
    <xf numFmtId="49" fontId="31" fillId="24" borderId="41" xfId="0" quotePrefix="1" applyNumberFormat="1" applyFont="1" applyFill="1" applyBorder="1" applyAlignment="1">
      <alignment horizontal="center" vertical="center"/>
    </xf>
    <xf numFmtId="0" fontId="30" fillId="24" borderId="49" xfId="0" applyFont="1" applyFill="1" applyBorder="1" applyAlignment="1">
      <alignment horizontal="center" vertical="center" textRotation="90"/>
    </xf>
    <xf numFmtId="0" fontId="30" fillId="24" borderId="45" xfId="0" applyFont="1" applyFill="1" applyBorder="1" applyAlignment="1">
      <alignment horizontal="center" vertical="center" textRotation="90"/>
    </xf>
    <xf numFmtId="0" fontId="30" fillId="24" borderId="15" xfId="0" applyFont="1" applyFill="1" applyBorder="1" applyAlignment="1">
      <alignment horizontal="center" vertical="center" textRotation="90"/>
    </xf>
    <xf numFmtId="0" fontId="30" fillId="24" borderId="46" xfId="0" applyFont="1" applyFill="1" applyBorder="1" applyAlignment="1">
      <alignment horizontal="center" vertical="center" textRotation="90"/>
    </xf>
    <xf numFmtId="0" fontId="30" fillId="24" borderId="15" xfId="0" applyFont="1" applyFill="1" applyBorder="1" applyAlignment="1">
      <alignment horizontal="center" vertical="center" textRotation="90" wrapText="1"/>
    </xf>
    <xf numFmtId="0" fontId="30" fillId="24" borderId="46" xfId="0" applyFont="1" applyFill="1" applyBorder="1" applyAlignment="1">
      <alignment horizontal="center" vertical="center" textRotation="90" wrapText="1"/>
    </xf>
    <xf numFmtId="0" fontId="30" fillId="24" borderId="15" xfId="0" applyFont="1" applyFill="1" applyBorder="1" applyAlignment="1">
      <alignment horizontal="center" vertical="center"/>
    </xf>
    <xf numFmtId="0" fontId="30" fillId="26" borderId="46" xfId="0" applyFont="1" applyFill="1" applyBorder="1" applyAlignment="1">
      <alignment horizontal="center" vertical="center"/>
    </xf>
    <xf numFmtId="0" fontId="30" fillId="24" borderId="18" xfId="0"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0" borderId="55" xfId="0" applyFont="1" applyBorder="1" applyAlignment="1">
      <alignment horizontal="center" vertical="center" wrapText="1"/>
    </xf>
    <xf numFmtId="0" fontId="30" fillId="0" borderId="18" xfId="0" applyFont="1" applyBorder="1" applyAlignment="1">
      <alignment horizontal="center" vertical="center" wrapText="1"/>
    </xf>
    <xf numFmtId="168" fontId="30" fillId="0" borderId="64" xfId="41" applyNumberFormat="1" applyFont="1" applyFill="1" applyBorder="1" applyAlignment="1">
      <alignment horizontal="center" vertical="center" wrapText="1"/>
    </xf>
    <xf numFmtId="168" fontId="30" fillId="0" borderId="23" xfId="41" applyNumberFormat="1" applyFont="1" applyFill="1" applyBorder="1" applyAlignment="1">
      <alignment horizontal="center" vertical="center" wrapText="1"/>
    </xf>
    <xf numFmtId="168" fontId="30" fillId="24" borderId="64" xfId="41" applyNumberFormat="1" applyFont="1" applyFill="1" applyBorder="1" applyAlignment="1">
      <alignment horizontal="center" vertical="center" wrapText="1"/>
    </xf>
    <xf numFmtId="168" fontId="30" fillId="24" borderId="23" xfId="41" applyNumberFormat="1" applyFont="1" applyFill="1" applyBorder="1" applyAlignment="1">
      <alignment horizontal="center" vertical="center" wrapText="1"/>
    </xf>
    <xf numFmtId="168" fontId="30" fillId="24" borderId="24" xfId="41" applyNumberFormat="1" applyFont="1" applyFill="1" applyBorder="1" applyAlignment="1">
      <alignment horizontal="center" vertical="center" wrapText="1"/>
    </xf>
    <xf numFmtId="0" fontId="32" fillId="26" borderId="35" xfId="0" applyFont="1" applyFill="1" applyBorder="1" applyAlignment="1">
      <alignment horizontal="center" vertical="center"/>
    </xf>
    <xf numFmtId="0" fontId="32" fillId="26" borderId="11" xfId="0" applyFont="1" applyFill="1" applyBorder="1" applyAlignment="1">
      <alignment horizontal="center" vertical="center"/>
    </xf>
    <xf numFmtId="0" fontId="32" fillId="26" borderId="36" xfId="0" applyFont="1" applyFill="1" applyBorder="1" applyAlignment="1">
      <alignment horizontal="center" vertical="center"/>
    </xf>
    <xf numFmtId="16" fontId="31" fillId="26" borderId="29" xfId="0" applyNumberFormat="1" applyFont="1" applyFill="1" applyBorder="1" applyAlignment="1">
      <alignment horizontal="center" vertical="center"/>
    </xf>
    <xf numFmtId="16" fontId="31" fillId="26" borderId="23" xfId="0" applyNumberFormat="1" applyFont="1" applyFill="1" applyBorder="1" applyAlignment="1">
      <alignment horizontal="center" vertical="center"/>
    </xf>
    <xf numFmtId="0" fontId="30" fillId="24" borderId="10" xfId="0" applyFont="1" applyFill="1" applyBorder="1" applyAlignment="1">
      <alignment horizontal="center" vertical="center" wrapText="1"/>
    </xf>
    <xf numFmtId="0" fontId="30" fillId="0" borderId="19" xfId="0" applyFont="1" applyBorder="1" applyAlignment="1">
      <alignment horizontal="center" vertical="center" wrapText="1"/>
    </xf>
    <xf numFmtId="0" fontId="48" fillId="0" borderId="0" xfId="0" applyFont="1" applyAlignment="1">
      <alignment horizontal="center" vertical="center"/>
    </xf>
    <xf numFmtId="0" fontId="30" fillId="0" borderId="67"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0" xfId="0" applyFont="1" applyAlignment="1">
      <alignment horizontal="center" vertical="center" wrapText="1"/>
    </xf>
    <xf numFmtId="0" fontId="30" fillId="0" borderId="11" xfId="0" applyFont="1" applyBorder="1" applyAlignment="1">
      <alignment horizontal="center" vertical="center" wrapText="1"/>
    </xf>
    <xf numFmtId="0" fontId="31" fillId="0" borderId="55" xfId="0" applyFont="1" applyBorder="1" applyAlignment="1">
      <alignment horizontal="center" vertical="center"/>
    </xf>
    <xf numFmtId="0" fontId="31" fillId="0" borderId="19" xfId="0" applyFont="1" applyBorder="1" applyAlignment="1">
      <alignment horizontal="center" vertical="center"/>
    </xf>
    <xf numFmtId="0" fontId="30" fillId="0" borderId="68"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9" xfId="0" applyFont="1" applyBorder="1" applyAlignment="1">
      <alignment horizontal="center" vertical="center"/>
    </xf>
    <xf numFmtId="0" fontId="31" fillId="0" borderId="29" xfId="0" applyFont="1" applyBorder="1" applyAlignment="1">
      <alignment horizontal="left" vertical="center"/>
    </xf>
    <xf numFmtId="0" fontId="31" fillId="0" borderId="23" xfId="0" applyFont="1" applyBorder="1" applyAlignment="1">
      <alignment horizontal="left" vertical="center"/>
    </xf>
    <xf numFmtId="0" fontId="31" fillId="0" borderId="55" xfId="0" applyFont="1" applyBorder="1" applyAlignment="1">
      <alignment horizontal="left" vertical="center"/>
    </xf>
    <xf numFmtId="0" fontId="30" fillId="0" borderId="55" xfId="0" applyFont="1" applyBorder="1" applyAlignment="1">
      <alignment horizontal="center" vertical="center"/>
    </xf>
    <xf numFmtId="0" fontId="31" fillId="0" borderId="41" xfId="0" applyFont="1" applyBorder="1" applyAlignment="1">
      <alignment horizontal="left" vertical="center"/>
    </xf>
    <xf numFmtId="0" fontId="31" fillId="0" borderId="18" xfId="0" applyFont="1" applyBorder="1" applyAlignment="1">
      <alignment horizontal="left" vertical="center"/>
    </xf>
    <xf numFmtId="0" fontId="30" fillId="0" borderId="1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64"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6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66"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8" xfId="0" applyFont="1" applyBorder="1" applyAlignment="1">
      <alignment horizontal="center"/>
    </xf>
    <xf numFmtId="0" fontId="30" fillId="0" borderId="25" xfId="0" applyFont="1" applyBorder="1" applyAlignment="1">
      <alignment horizontal="center"/>
    </xf>
    <xf numFmtId="0" fontId="30" fillId="0" borderId="36" xfId="0" applyFont="1" applyBorder="1" applyAlignment="1">
      <alignment horizont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31" fillId="24" borderId="67" xfId="0" applyFont="1" applyFill="1" applyBorder="1" applyAlignment="1">
      <alignment horizontal="center" vertical="center"/>
    </xf>
    <xf numFmtId="0" fontId="31" fillId="24" borderId="28" xfId="0" applyFont="1" applyFill="1" applyBorder="1" applyAlignment="1">
      <alignment horizontal="center" vertical="center"/>
    </xf>
    <xf numFmtId="0" fontId="30" fillId="24" borderId="23" xfId="0" applyFont="1" applyFill="1" applyBorder="1" applyAlignment="1">
      <alignment horizontal="center" vertical="center"/>
    </xf>
    <xf numFmtId="0" fontId="30" fillId="24" borderId="24" xfId="0" applyFont="1" applyFill="1" applyBorder="1" applyAlignment="1">
      <alignment horizontal="center" vertical="center"/>
    </xf>
    <xf numFmtId="0" fontId="29" fillId="24" borderId="41" xfId="0" applyFont="1" applyFill="1" applyBorder="1" applyAlignment="1">
      <alignment horizontal="center" vertical="center"/>
    </xf>
    <xf numFmtId="0" fontId="29" fillId="24" borderId="18" xfId="0" applyFont="1" applyFill="1" applyBorder="1" applyAlignment="1">
      <alignment horizontal="center" vertical="center"/>
    </xf>
    <xf numFmtId="0" fontId="31" fillId="24" borderId="29" xfId="0" applyFont="1" applyFill="1" applyBorder="1" applyAlignment="1">
      <alignment horizontal="center" vertical="center"/>
    </xf>
    <xf numFmtId="0" fontId="31" fillId="24" borderId="23" xfId="0" applyFont="1" applyFill="1" applyBorder="1" applyAlignment="1">
      <alignment horizontal="center" vertical="center"/>
    </xf>
    <xf numFmtId="0" fontId="31" fillId="24" borderId="29" xfId="0" applyFont="1" applyFill="1" applyBorder="1" applyAlignment="1">
      <alignment horizontal="center" vertical="center" wrapText="1"/>
    </xf>
    <xf numFmtId="0" fontId="31" fillId="24" borderId="23" xfId="0" applyFont="1" applyFill="1" applyBorder="1" applyAlignment="1">
      <alignment horizontal="center" vertical="center" wrapText="1"/>
    </xf>
    <xf numFmtId="0" fontId="31" fillId="24" borderId="24" xfId="0" applyFont="1" applyFill="1" applyBorder="1" applyAlignment="1">
      <alignment horizontal="center" vertical="center" wrapText="1"/>
    </xf>
    <xf numFmtId="0" fontId="30" fillId="24" borderId="56" xfId="0" applyFont="1" applyFill="1" applyBorder="1" applyAlignment="1">
      <alignment horizontal="center" vertical="center" wrapText="1"/>
    </xf>
    <xf numFmtId="0" fontId="30" fillId="24" borderId="59" xfId="0" applyFont="1" applyFill="1" applyBorder="1" applyAlignment="1">
      <alignment horizontal="center" vertical="center" wrapText="1"/>
    </xf>
    <xf numFmtId="0" fontId="48" fillId="26" borderId="0" xfId="0" applyFont="1" applyFill="1" applyAlignment="1">
      <alignment horizontal="center" vertical="center"/>
    </xf>
    <xf numFmtId="0" fontId="30" fillId="0" borderId="25" xfId="0" applyFont="1" applyBorder="1" applyAlignment="1">
      <alignment horizontal="center" vertical="center" wrapText="1"/>
    </xf>
    <xf numFmtId="0" fontId="30" fillId="0" borderId="29" xfId="0" applyFont="1" applyBorder="1" applyAlignment="1">
      <alignment horizontal="center"/>
    </xf>
    <xf numFmtId="0" fontId="30" fillId="0" borderId="23" xfId="0" applyFont="1" applyBorder="1" applyAlignment="1">
      <alignment horizontal="center"/>
    </xf>
    <xf numFmtId="0" fontId="30" fillId="0" borderId="24" xfId="0" applyFont="1" applyBorder="1" applyAlignment="1">
      <alignment horizontal="center"/>
    </xf>
    <xf numFmtId="0" fontId="30" fillId="26" borderId="0" xfId="0" applyFont="1" applyFill="1" applyAlignment="1">
      <alignment horizontal="center"/>
    </xf>
    <xf numFmtId="0" fontId="31" fillId="0" borderId="41" xfId="0" applyFont="1" applyBorder="1" applyAlignment="1">
      <alignment horizontal="center" vertical="center"/>
    </xf>
    <xf numFmtId="0" fontId="30" fillId="0" borderId="10" xfId="0" applyFont="1" applyBorder="1" applyAlignment="1">
      <alignment horizontal="center" vertical="center" textRotation="90" wrapText="1"/>
    </xf>
    <xf numFmtId="0" fontId="30" fillId="0" borderId="56" xfId="0" applyFont="1" applyBorder="1" applyAlignment="1">
      <alignment horizontal="center" vertical="center"/>
    </xf>
    <xf numFmtId="0" fontId="30" fillId="0" borderId="59" xfId="0" applyFont="1" applyBorder="1" applyAlignment="1">
      <alignment horizontal="center" vertical="center"/>
    </xf>
    <xf numFmtId="0" fontId="30" fillId="0" borderId="10" xfId="0" applyFont="1" applyBorder="1" applyAlignment="1">
      <alignment horizontal="center" vertical="center" wrapText="1"/>
    </xf>
    <xf numFmtId="0" fontId="29" fillId="0" borderId="41" xfId="0" applyFont="1" applyBorder="1" applyAlignment="1">
      <alignment horizontal="center" vertical="center"/>
    </xf>
    <xf numFmtId="0" fontId="29" fillId="0" borderId="18" xfId="0" applyFont="1" applyBorder="1" applyAlignment="1">
      <alignment horizontal="center" vertical="center"/>
    </xf>
    <xf numFmtId="0" fontId="29" fillId="26" borderId="0" xfId="0" applyFont="1" applyFill="1" applyAlignment="1">
      <alignment horizontal="center" vertical="center"/>
    </xf>
    <xf numFmtId="0" fontId="30" fillId="26" borderId="0" xfId="0" applyFont="1" applyFill="1" applyAlignment="1">
      <alignment horizontal="center" vertical="center"/>
    </xf>
    <xf numFmtId="0" fontId="30" fillId="0" borderId="56" xfId="0" applyFont="1" applyBorder="1" applyAlignment="1">
      <alignment horizontal="center" vertical="center" textRotation="90" wrapText="1"/>
    </xf>
    <xf numFmtId="0" fontId="30" fillId="0" borderId="66" xfId="0" applyFont="1" applyBorder="1" applyAlignment="1">
      <alignment horizontal="center" vertical="center" textRotation="90" wrapText="1"/>
    </xf>
    <xf numFmtId="0" fontId="30" fillId="0" borderId="59" xfId="0" applyFont="1" applyBorder="1" applyAlignment="1">
      <alignment horizontal="center" vertical="center" textRotation="90" wrapText="1"/>
    </xf>
    <xf numFmtId="0" fontId="30" fillId="0" borderId="29"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0" xfId="0" applyFont="1" applyBorder="1" applyAlignment="1">
      <alignment horizontal="center"/>
    </xf>
    <xf numFmtId="0" fontId="27" fillId="0" borderId="29" xfId="63" applyFont="1" applyBorder="1" applyAlignment="1">
      <alignment horizontal="center"/>
    </xf>
    <xf numFmtId="0" fontId="27" fillId="0" borderId="23" xfId="63" applyFont="1" applyBorder="1" applyAlignment="1">
      <alignment horizontal="center"/>
    </xf>
    <xf numFmtId="170" fontId="27" fillId="0" borderId="23" xfId="80" applyNumberFormat="1" applyFont="1" applyBorder="1" applyAlignment="1"/>
    <xf numFmtId="0" fontId="30" fillId="0" borderId="17" xfId="0" applyFont="1" applyBorder="1" applyAlignment="1">
      <alignment horizontal="center"/>
    </xf>
    <xf numFmtId="0" fontId="27" fillId="0" borderId="41" xfId="63" applyFont="1" applyBorder="1" applyAlignment="1">
      <alignment horizontal="center"/>
    </xf>
    <xf numFmtId="0" fontId="27" fillId="0" borderId="18" xfId="63" applyFont="1" applyBorder="1" applyAlignment="1">
      <alignment horizontal="center"/>
    </xf>
    <xf numFmtId="170" fontId="27" fillId="0" borderId="18" xfId="80" applyNumberFormat="1" applyFont="1" applyBorder="1" applyAlignment="1"/>
    <xf numFmtId="0" fontId="54" fillId="0" borderId="41" xfId="63" applyFont="1" applyBorder="1" applyAlignment="1">
      <alignment horizontal="center" wrapText="1"/>
    </xf>
    <xf numFmtId="0" fontId="54" fillId="0" borderId="18" xfId="63" applyFont="1" applyBorder="1" applyAlignment="1">
      <alignment horizontal="center" wrapText="1"/>
    </xf>
    <xf numFmtId="5" fontId="26" fillId="0" borderId="14" xfId="63" applyNumberFormat="1" applyFont="1" applyBorder="1" applyAlignment="1">
      <alignment horizontal="center" vertical="center" wrapText="1"/>
    </xf>
    <xf numFmtId="0" fontId="48" fillId="26" borderId="0" xfId="0" applyFont="1" applyFill="1" applyAlignment="1">
      <alignment horizontal="center"/>
    </xf>
    <xf numFmtId="0" fontId="34" fillId="30" borderId="41" xfId="0" applyFont="1" applyFill="1" applyBorder="1" applyAlignment="1">
      <alignment horizontal="center"/>
    </xf>
    <xf numFmtId="0" fontId="34" fillId="30" borderId="18" xfId="0" applyFont="1" applyFill="1" applyBorder="1" applyAlignment="1">
      <alignment horizontal="center"/>
    </xf>
    <xf numFmtId="5" fontId="42" fillId="0" borderId="20" xfId="90" applyNumberFormat="1" applyFont="1" applyBorder="1" applyAlignment="1">
      <alignment horizontal="left"/>
    </xf>
    <xf numFmtId="5" fontId="42" fillId="0" borderId="20" xfId="80" applyNumberFormat="1" applyFont="1" applyFill="1" applyBorder="1" applyAlignment="1">
      <alignment horizontal="left"/>
    </xf>
    <xf numFmtId="170" fontId="26" fillId="0" borderId="20" xfId="80" applyNumberFormat="1" applyFont="1" applyFill="1" applyBorder="1" applyAlignment="1">
      <alignment horizontal="left"/>
    </xf>
    <xf numFmtId="0" fontId="27" fillId="0" borderId="41" xfId="90" applyFont="1" applyBorder="1" applyAlignment="1">
      <alignment horizontal="center"/>
    </xf>
    <xf numFmtId="0" fontId="27" fillId="0" borderId="18" xfId="90" applyFont="1" applyBorder="1" applyAlignment="1">
      <alignment horizontal="center"/>
    </xf>
    <xf numFmtId="0" fontId="48" fillId="24" borderId="0" xfId="0" applyFont="1" applyFill="1" applyAlignment="1">
      <alignment horizontal="center" vertical="center" wrapText="1"/>
    </xf>
    <xf numFmtId="0" fontId="31" fillId="24" borderId="55" xfId="0" applyFont="1" applyFill="1" applyBorder="1" applyAlignment="1">
      <alignment horizontal="center" vertical="center"/>
    </xf>
    <xf numFmtId="168" fontId="31" fillId="24" borderId="64" xfId="41" applyNumberFormat="1" applyFont="1" applyFill="1" applyBorder="1" applyAlignment="1">
      <alignment horizontal="center" vertical="center"/>
    </xf>
    <xf numFmtId="168" fontId="31" fillId="24" borderId="23" xfId="41" applyNumberFormat="1" applyFont="1" applyFill="1" applyBorder="1" applyAlignment="1">
      <alignment horizontal="center" vertical="center"/>
    </xf>
    <xf numFmtId="49" fontId="53" fillId="0" borderId="29" xfId="0" quotePrefix="1" applyNumberFormat="1" applyFont="1" applyBorder="1" applyAlignment="1">
      <alignment horizontal="center" vertical="center" wrapText="1"/>
    </xf>
    <xf numFmtId="49" fontId="53" fillId="0" borderId="23" xfId="0" quotePrefix="1" applyNumberFormat="1" applyFont="1" applyBorder="1" applyAlignment="1">
      <alignment horizontal="center" vertical="center" wrapText="1"/>
    </xf>
    <xf numFmtId="49" fontId="53" fillId="0" borderId="24" xfId="0" quotePrefix="1" applyNumberFormat="1" applyFont="1" applyBorder="1" applyAlignment="1">
      <alignment horizontal="center" vertical="center" wrapText="1"/>
    </xf>
    <xf numFmtId="0" fontId="30" fillId="24" borderId="41" xfId="0" applyFont="1" applyFill="1" applyBorder="1" applyAlignment="1">
      <alignment horizontal="center" vertical="center" wrapText="1"/>
    </xf>
    <xf numFmtId="0" fontId="30" fillId="24" borderId="55" xfId="0" applyFont="1" applyFill="1" applyBorder="1" applyAlignment="1">
      <alignment horizontal="center" vertical="center" wrapText="1"/>
    </xf>
    <xf numFmtId="0" fontId="30" fillId="26" borderId="11" xfId="0" applyFont="1" applyFill="1" applyBorder="1" applyAlignment="1">
      <alignment horizontal="center"/>
    </xf>
    <xf numFmtId="0" fontId="30" fillId="26" borderId="56" xfId="0" applyFont="1" applyFill="1" applyBorder="1" applyAlignment="1">
      <alignment horizontal="center" vertical="center" textRotation="90" wrapText="1"/>
    </xf>
    <xf numFmtId="0" fontId="30" fillId="26" borderId="66" xfId="0" applyFont="1" applyFill="1" applyBorder="1" applyAlignment="1">
      <alignment horizontal="center" vertical="center" textRotation="90" wrapText="1"/>
    </xf>
    <xf numFmtId="0" fontId="30" fillId="26" borderId="59" xfId="0" applyFont="1" applyFill="1" applyBorder="1" applyAlignment="1">
      <alignment horizontal="center" vertical="center" textRotation="90" wrapText="1"/>
    </xf>
    <xf numFmtId="0" fontId="30" fillId="26" borderId="56" xfId="0" applyFont="1" applyFill="1" applyBorder="1" applyAlignment="1">
      <alignment horizontal="center" vertical="center" wrapText="1"/>
    </xf>
    <xf numFmtId="0" fontId="30" fillId="26" borderId="66" xfId="0" applyFont="1" applyFill="1" applyBorder="1" applyAlignment="1">
      <alignment horizontal="center" vertical="center" wrapText="1"/>
    </xf>
    <xf numFmtId="0" fontId="30" fillId="26" borderId="59" xfId="0" applyFont="1" applyFill="1" applyBorder="1" applyAlignment="1">
      <alignment horizontal="center" vertical="center" wrapText="1"/>
    </xf>
    <xf numFmtId="168" fontId="30" fillId="26" borderId="67" xfId="49" applyNumberFormat="1" applyFont="1" applyFill="1" applyBorder="1" applyAlignment="1">
      <alignment horizontal="center" vertical="center" wrapText="1"/>
    </xf>
    <xf numFmtId="168" fontId="30" fillId="26" borderId="28" xfId="49" applyNumberFormat="1" applyFont="1" applyFill="1" applyBorder="1" applyAlignment="1">
      <alignment horizontal="center" vertical="center" wrapText="1"/>
    </xf>
    <xf numFmtId="168" fontId="30" fillId="26" borderId="60" xfId="49" applyNumberFormat="1" applyFont="1" applyFill="1" applyBorder="1" applyAlignment="1">
      <alignment horizontal="center" vertical="center" wrapText="1"/>
    </xf>
    <xf numFmtId="168" fontId="30" fillId="26" borderId="27" xfId="49" applyNumberFormat="1" applyFont="1" applyFill="1" applyBorder="1" applyAlignment="1">
      <alignment horizontal="center" vertical="center" wrapText="1"/>
    </xf>
    <xf numFmtId="168" fontId="30" fillId="26" borderId="0" xfId="49" applyNumberFormat="1" applyFont="1" applyFill="1" applyBorder="1" applyAlignment="1">
      <alignment horizontal="center" vertical="center" wrapText="1"/>
    </xf>
    <xf numFmtId="168" fontId="30" fillId="26" borderId="51" xfId="49" applyNumberFormat="1" applyFont="1" applyFill="1" applyBorder="1" applyAlignment="1">
      <alignment horizontal="center" vertical="center" wrapText="1"/>
    </xf>
    <xf numFmtId="168" fontId="30" fillId="26" borderId="35" xfId="49" applyNumberFormat="1" applyFont="1" applyFill="1" applyBorder="1" applyAlignment="1">
      <alignment horizontal="center" vertical="center" wrapText="1"/>
    </xf>
    <xf numFmtId="168" fontId="30" fillId="26" borderId="11" xfId="49" applyNumberFormat="1" applyFont="1" applyFill="1" applyBorder="1" applyAlignment="1">
      <alignment horizontal="center" vertical="center" wrapText="1"/>
    </xf>
    <xf numFmtId="168" fontId="30" fillId="26" borderId="31" xfId="49" applyNumberFormat="1" applyFont="1" applyFill="1" applyBorder="1" applyAlignment="1">
      <alignment horizontal="center" vertical="center" wrapText="1"/>
    </xf>
    <xf numFmtId="168" fontId="30" fillId="26" borderId="68" xfId="49" applyNumberFormat="1" applyFont="1" applyFill="1" applyBorder="1" applyAlignment="1">
      <alignment horizontal="center" vertical="center" wrapText="1"/>
    </xf>
    <xf numFmtId="168" fontId="30" fillId="26" borderId="25" xfId="49" applyNumberFormat="1" applyFont="1" applyFill="1" applyBorder="1" applyAlignment="1">
      <alignment horizontal="center" vertical="center" wrapText="1"/>
    </xf>
    <xf numFmtId="168" fontId="30" fillId="26" borderId="36" xfId="49" applyNumberFormat="1" applyFont="1" applyFill="1" applyBorder="1" applyAlignment="1">
      <alignment horizontal="center" vertical="center" wrapText="1"/>
    </xf>
    <xf numFmtId="0" fontId="31" fillId="26" borderId="41" xfId="0" applyFont="1" applyFill="1" applyBorder="1" applyAlignment="1">
      <alignment horizontal="center" vertical="center" wrapText="1"/>
    </xf>
    <xf numFmtId="0" fontId="31" fillId="26" borderId="18" xfId="0" applyFont="1" applyFill="1" applyBorder="1" applyAlignment="1">
      <alignment horizontal="center" vertical="center" wrapText="1"/>
    </xf>
    <xf numFmtId="0" fontId="31" fillId="26" borderId="41" xfId="0" applyFont="1" applyFill="1" applyBorder="1" applyAlignment="1">
      <alignment horizontal="center" vertical="center"/>
    </xf>
    <xf numFmtId="0" fontId="34" fillId="0" borderId="11" xfId="0" applyFont="1" applyBorder="1" applyAlignment="1">
      <alignment horizontal="center" vertical="center"/>
    </xf>
    <xf numFmtId="0" fontId="43" fillId="0" borderId="10" xfId="0" applyFont="1" applyBorder="1" applyAlignment="1">
      <alignment horizontal="center" wrapText="1"/>
    </xf>
  </cellXfs>
  <cellStyles count="92">
    <cellStyle name="20% - Accent1" xfId="1" xr:uid="{00000000-0005-0000-0000-000000000000}"/>
    <cellStyle name="20% - Accent1 2" xfId="2" xr:uid="{00000000-0005-0000-0000-000001000000}"/>
    <cellStyle name="20% - Accent2" xfId="3" xr:uid="{00000000-0005-0000-0000-000002000000}"/>
    <cellStyle name="20% - Accent2 2" xfId="4" xr:uid="{00000000-0005-0000-0000-000003000000}"/>
    <cellStyle name="20% - Accent3" xfId="5" xr:uid="{00000000-0005-0000-0000-000004000000}"/>
    <cellStyle name="20% - Accent3 2" xfId="6" xr:uid="{00000000-0005-0000-0000-000005000000}"/>
    <cellStyle name="20% - Accent4" xfId="7" xr:uid="{00000000-0005-0000-0000-000006000000}"/>
    <cellStyle name="20% - Accent4 2" xfId="8" xr:uid="{00000000-0005-0000-0000-000007000000}"/>
    <cellStyle name="20% - Accent5" xfId="9" xr:uid="{00000000-0005-0000-0000-000008000000}"/>
    <cellStyle name="20% - Accent5 2" xfId="10" xr:uid="{00000000-0005-0000-0000-000009000000}"/>
    <cellStyle name="20% - Accent6" xfId="11" xr:uid="{00000000-0005-0000-0000-00000A000000}"/>
    <cellStyle name="20% - Accent6 2" xfId="12" xr:uid="{00000000-0005-0000-0000-00000B000000}"/>
    <cellStyle name="40% - Accent1" xfId="13" xr:uid="{00000000-0005-0000-0000-00000C000000}"/>
    <cellStyle name="40% - Accent1 2" xfId="14" xr:uid="{00000000-0005-0000-0000-00000D000000}"/>
    <cellStyle name="40% - Accent2" xfId="15" xr:uid="{00000000-0005-0000-0000-00000E000000}"/>
    <cellStyle name="40% - Accent2 2" xfId="16" xr:uid="{00000000-0005-0000-0000-00000F000000}"/>
    <cellStyle name="40% - Accent3" xfId="17" xr:uid="{00000000-0005-0000-0000-000010000000}"/>
    <cellStyle name="40% - Accent3 2" xfId="18" xr:uid="{00000000-0005-0000-0000-000011000000}"/>
    <cellStyle name="40% - Accent4" xfId="19" xr:uid="{00000000-0005-0000-0000-000012000000}"/>
    <cellStyle name="40% - Accent4 2" xfId="20" xr:uid="{00000000-0005-0000-0000-000013000000}"/>
    <cellStyle name="40% - Accent5" xfId="21" xr:uid="{00000000-0005-0000-0000-000014000000}"/>
    <cellStyle name="40% - Accent5 2" xfId="22" xr:uid="{00000000-0005-0000-0000-000015000000}"/>
    <cellStyle name="40% - Accent6" xfId="23" xr:uid="{00000000-0005-0000-0000-000016000000}"/>
    <cellStyle name="40% - Accent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Accent1" xfId="31" xr:uid="{00000000-0005-0000-0000-00001E000000}"/>
    <cellStyle name="Accent2" xfId="32" xr:uid="{00000000-0005-0000-0000-00001F000000}"/>
    <cellStyle name="Accent3" xfId="33" xr:uid="{00000000-0005-0000-0000-000020000000}"/>
    <cellStyle name="Accent4" xfId="34" xr:uid="{00000000-0005-0000-0000-000021000000}"/>
    <cellStyle name="Accent5" xfId="35" xr:uid="{00000000-0005-0000-0000-000022000000}"/>
    <cellStyle name="Accent6" xfId="36" xr:uid="{00000000-0005-0000-0000-000023000000}"/>
    <cellStyle name="Bad" xfId="37" xr:uid="{00000000-0005-0000-0000-000024000000}"/>
    <cellStyle name="Calculation" xfId="38" xr:uid="{00000000-0005-0000-0000-000025000000}"/>
    <cellStyle name="Check Cell" xfId="39" xr:uid="{00000000-0005-0000-0000-000026000000}"/>
    <cellStyle name="Explanatory Text" xfId="40" xr:uid="{00000000-0005-0000-0000-000027000000}"/>
    <cellStyle name="Ezres" xfId="41" builtinId="3"/>
    <cellStyle name="Ezres 2" xfId="42" xr:uid="{00000000-0005-0000-0000-000029000000}"/>
    <cellStyle name="Ezres 2 2" xfId="43" xr:uid="{00000000-0005-0000-0000-00002A000000}"/>
    <cellStyle name="Ezres 3" xfId="44" xr:uid="{00000000-0005-0000-0000-00002B000000}"/>
    <cellStyle name="Ezres 4" xfId="45" xr:uid="{00000000-0005-0000-0000-00002C000000}"/>
    <cellStyle name="Ezres 5" xfId="46" xr:uid="{00000000-0005-0000-0000-00002D000000}"/>
    <cellStyle name="Ezres 5 2" xfId="47" xr:uid="{00000000-0005-0000-0000-00002E000000}"/>
    <cellStyle name="Ezres 6" xfId="48" xr:uid="{00000000-0005-0000-0000-00002F000000}"/>
    <cellStyle name="Ezres 7" xfId="49" xr:uid="{00000000-0005-0000-0000-000030000000}"/>
    <cellStyle name="Ezres 7 2" xfId="50" xr:uid="{00000000-0005-0000-0000-000031000000}"/>
    <cellStyle name="Ezres 7 3" xfId="51" xr:uid="{00000000-0005-0000-0000-000032000000}"/>
    <cellStyle name="Ezres 8"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Input" xfId="58" xr:uid="{00000000-0005-0000-0000-000039000000}"/>
    <cellStyle name="Linked Cell" xfId="59" xr:uid="{00000000-0005-0000-0000-00003A000000}"/>
    <cellStyle name="Neutral" xfId="60" xr:uid="{00000000-0005-0000-0000-00003B000000}"/>
    <cellStyle name="Normál" xfId="0" builtinId="0"/>
    <cellStyle name="Normál 2" xfId="61" xr:uid="{00000000-0005-0000-0000-00003D000000}"/>
    <cellStyle name="Normál 2 2" xfId="62" xr:uid="{00000000-0005-0000-0000-00003E000000}"/>
    <cellStyle name="Normál 2 3" xfId="63" xr:uid="{00000000-0005-0000-0000-00003F000000}"/>
    <cellStyle name="Normál 2 3 2" xfId="89" xr:uid="{00000000-0005-0000-0000-000040000000}"/>
    <cellStyle name="Normál 2 3 2 2" xfId="90" xr:uid="{00000000-0005-0000-0000-000041000000}"/>
    <cellStyle name="Normál 2 4" xfId="64" xr:uid="{00000000-0005-0000-0000-000042000000}"/>
    <cellStyle name="Normál 2_4.4.5 utca Könyvvizsgálói tábla" xfId="65" xr:uid="{00000000-0005-0000-0000-000043000000}"/>
    <cellStyle name="Normál 3" xfId="66" xr:uid="{00000000-0005-0000-0000-000044000000}"/>
    <cellStyle name="Normál 4" xfId="67" xr:uid="{00000000-0005-0000-0000-000045000000}"/>
    <cellStyle name="Normál 5" xfId="68" xr:uid="{00000000-0005-0000-0000-000046000000}"/>
    <cellStyle name="Normál 5 2" xfId="69" xr:uid="{00000000-0005-0000-0000-000047000000}"/>
    <cellStyle name="Normál 6" xfId="70" xr:uid="{00000000-0005-0000-0000-000048000000}"/>
    <cellStyle name="Normál 7" xfId="71" xr:uid="{00000000-0005-0000-0000-000049000000}"/>
    <cellStyle name="Normál 7 2" xfId="72" xr:uid="{00000000-0005-0000-0000-00004A000000}"/>
    <cellStyle name="Normál 7 2 2" xfId="73" xr:uid="{00000000-0005-0000-0000-00004B000000}"/>
    <cellStyle name="Normál 8" xfId="74" xr:uid="{00000000-0005-0000-0000-00004C000000}"/>
    <cellStyle name="Note" xfId="75" xr:uid="{00000000-0005-0000-0000-00004D000000}"/>
    <cellStyle name="Note 2" xfId="76" xr:uid="{00000000-0005-0000-0000-00004E000000}"/>
    <cellStyle name="Output" xfId="77" xr:uid="{00000000-0005-0000-0000-00004F000000}"/>
    <cellStyle name="Pénznem" xfId="78" builtinId="4"/>
    <cellStyle name="Pénznem 2" xfId="79" xr:uid="{00000000-0005-0000-0000-000051000000}"/>
    <cellStyle name="Pénznem 2 2" xfId="80" xr:uid="{00000000-0005-0000-0000-000052000000}"/>
    <cellStyle name="Pénznem 3" xfId="81" xr:uid="{00000000-0005-0000-0000-000053000000}"/>
    <cellStyle name="Pénznem 3 2" xfId="82" xr:uid="{00000000-0005-0000-0000-000054000000}"/>
    <cellStyle name="Százalék" xfId="91" builtinId="5"/>
    <cellStyle name="Százalék 2" xfId="83" xr:uid="{00000000-0005-0000-0000-000056000000}"/>
    <cellStyle name="Százalék 3" xfId="84" xr:uid="{00000000-0005-0000-0000-000057000000}"/>
    <cellStyle name="Százalék 3 2" xfId="85" xr:uid="{00000000-0005-0000-0000-000058000000}"/>
    <cellStyle name="Title" xfId="86" xr:uid="{00000000-0005-0000-0000-000059000000}"/>
    <cellStyle name="Total" xfId="87" xr:uid="{00000000-0005-0000-0000-00005A000000}"/>
    <cellStyle name="Warning Text" xfId="88" xr:uid="{00000000-0005-0000-0000-00005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linda\Desktop\k&#233;s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233;nz&#252;gy/2022/2022%20f&#233;l&#233;ves%20besz&#225;mol&#243;/2022.%20f&#233;l&#233;ves%20besz&#225;mol&#243;%20t&#225;bla%206-7%20n&#233;lk&#252;l%20bet&#246;lt&#233;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rika/AppData/Local/Temp/Rar$DIa0.800/2019.%20&#233;vi%20k&#246;lts&#233;gvet&#233;shez%20maradv&#225;ny/&#246;sszehasonl&#237;t&#243;%200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a sz. Önkormányzat 2022. "/>
      <sheetName val="2.1. sz. PMH"/>
      <sheetName val="2.2. sz. Hétszínvirág Óvoda"/>
      <sheetName val="2.3. sz. Mese Óvoda"/>
      <sheetName val="2.4. sz. Bölcsőde"/>
      <sheetName val="2.5. sz. Gyermekjóléti"/>
      <sheetName val="2.6 sz. Területi"/>
      <sheetName val="2.7. sz. Könyvtár"/>
      <sheetName val="2.8. sz. Műv.Ház"/>
      <sheetName val="2.9. sz. Szivárvány Ó."/>
      <sheetName val="2.10. sz. Intézmények összesen"/>
      <sheetName val="3. sz.Városi szintű összesen"/>
      <sheetName val="4.sz.Felhalm.c.pe.átadás"/>
      <sheetName val="5.sz.Műk.c.pe.átadás"/>
      <sheetName val="6.sz. Beruházások"/>
      <sheetName val="7. sz. Felújítások"/>
      <sheetName val="8.sz.Tartalékok"/>
      <sheetName val="9.sz. Szociális"/>
      <sheetName val="10.sz.Intézményfinanszírozás"/>
      <sheetName val="11.sz. Állami támogatás"/>
      <sheetName val="12.sz.Felh.célú tám.ÁHbelül"/>
      <sheetName val="13.sz. Közhatalmi bevételek"/>
      <sheetName val="14.sz.Felhalmozási bev"/>
      <sheetName val="15.sz.mell. Létszámtábla"/>
      <sheetName val="1.sz.tájék.tábla Közvetett tám"/>
      <sheetName val="2.sz.tájék.tábla Mérlegszerű"/>
      <sheetName val="3.sz.tájék.tábla Gördülő"/>
      <sheetName val="4.sz.tájék.táb. Többéves"/>
      <sheetName val="5.sz.tájék.táb Adósságszolgálat"/>
      <sheetName val="6.sz.tájék.tábla Hitelképes "/>
      <sheetName val="7.sz.tájék.táb.Likviditási terv"/>
      <sheetName val="8.sz.tájék.tábla Ütemterv"/>
      <sheetName val="9. sz. tájék.tábla EU-s pály."/>
      <sheetName val="10. sz.tájék.Nem EU-s pály.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E6">
            <v>4000000</v>
          </cell>
        </row>
        <row r="7">
          <cell r="G7">
            <v>4000000</v>
          </cell>
        </row>
        <row r="8">
          <cell r="F8">
            <v>1000000</v>
          </cell>
        </row>
        <row r="11">
          <cell r="H11">
            <v>1320000</v>
          </cell>
        </row>
        <row r="12">
          <cell r="F12">
            <v>1500000</v>
          </cell>
        </row>
      </sheetData>
      <sheetData sheetId="13">
        <row r="7">
          <cell r="G7">
            <v>14856000</v>
          </cell>
        </row>
        <row r="8">
          <cell r="G8">
            <v>25216800</v>
          </cell>
        </row>
        <row r="11">
          <cell r="G11">
            <v>500000</v>
          </cell>
        </row>
        <row r="12">
          <cell r="G12">
            <v>500000</v>
          </cell>
        </row>
        <row r="13">
          <cell r="G13">
            <v>300000</v>
          </cell>
        </row>
        <row r="14">
          <cell r="G14">
            <v>1000000</v>
          </cell>
        </row>
        <row r="15">
          <cell r="G15">
            <v>920000</v>
          </cell>
        </row>
        <row r="17">
          <cell r="G17">
            <v>3080000</v>
          </cell>
        </row>
        <row r="19">
          <cell r="G19">
            <v>79620000</v>
          </cell>
        </row>
        <row r="21">
          <cell r="E21">
            <v>4000000</v>
          </cell>
        </row>
        <row r="23">
          <cell r="G23">
            <v>1750000</v>
          </cell>
        </row>
        <row r="24">
          <cell r="G24">
            <v>840000</v>
          </cell>
        </row>
        <row r="28">
          <cell r="E28">
            <v>210500</v>
          </cell>
        </row>
        <row r="32">
          <cell r="G32">
            <v>7047905</v>
          </cell>
        </row>
        <row r="35">
          <cell r="G35">
            <v>117853492</v>
          </cell>
        </row>
        <row r="44">
          <cell r="E44">
            <v>4000000</v>
          </cell>
        </row>
        <row r="45">
          <cell r="E45">
            <v>18600000</v>
          </cell>
        </row>
        <row r="46">
          <cell r="E46">
            <v>4000000</v>
          </cell>
        </row>
      </sheetData>
      <sheetData sheetId="14">
        <row r="11">
          <cell r="E11">
            <v>10000000</v>
          </cell>
        </row>
      </sheetData>
      <sheetData sheetId="15">
        <row r="10">
          <cell r="E10">
            <v>6698581</v>
          </cell>
        </row>
      </sheetData>
      <sheetData sheetId="16">
        <row r="71">
          <cell r="C71">
            <v>897149962</v>
          </cell>
        </row>
      </sheetData>
      <sheetData sheetId="17">
        <row r="8">
          <cell r="E8">
            <v>18000000</v>
          </cell>
        </row>
        <row r="9">
          <cell r="E9">
            <v>5000000</v>
          </cell>
        </row>
        <row r="10">
          <cell r="E10">
            <v>4000000</v>
          </cell>
        </row>
        <row r="11">
          <cell r="E11">
            <v>500000</v>
          </cell>
        </row>
        <row r="12">
          <cell r="E12">
            <v>1500000</v>
          </cell>
        </row>
        <row r="13">
          <cell r="E13">
            <v>2300000</v>
          </cell>
        </row>
        <row r="14">
          <cell r="E14">
            <v>2000000</v>
          </cell>
        </row>
        <row r="15">
          <cell r="E15">
            <v>3000000</v>
          </cell>
        </row>
        <row r="16">
          <cell r="E16">
            <v>500000</v>
          </cell>
        </row>
        <row r="17">
          <cell r="E17">
            <v>200000</v>
          </cell>
        </row>
        <row r="18">
          <cell r="E18">
            <v>7000000</v>
          </cell>
        </row>
      </sheetData>
      <sheetData sheetId="18">
        <row r="16">
          <cell r="D16">
            <v>3513510223</v>
          </cell>
        </row>
      </sheetData>
      <sheetData sheetId="19"/>
      <sheetData sheetId="20"/>
      <sheetData sheetId="21">
        <row r="5">
          <cell r="E5">
            <v>3822360000</v>
          </cell>
          <cell r="F5">
            <v>46979111</v>
          </cell>
        </row>
      </sheetData>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a sz. Önkormányzat 2022. "/>
      <sheetName val="1.b sz. Önkormányzat 2022."/>
      <sheetName val="2.1. sz. PMH"/>
      <sheetName val="2.2. sz. Hétszínvirág Óvoda"/>
      <sheetName val="2.3. sz. Mese Óvoda"/>
      <sheetName val="2.4. sz. Bölcsőde"/>
      <sheetName val="2.5. sz. Gyermekjóléti"/>
      <sheetName val="2.6 sz. Területi"/>
      <sheetName val="2.7. sz. Könyvtár"/>
      <sheetName val="2.8. sz. Műv.Ház"/>
      <sheetName val="2.9. sz. Szivárvány Ó."/>
      <sheetName val="2.10. sz. Intézmények összesen"/>
      <sheetName val="3. sz.Városi szintű összesen"/>
      <sheetName val="4.sz.Felhalm.c.pe.átadás"/>
      <sheetName val="5.sz.Műk.c.pe.átadás"/>
      <sheetName val="6.sz. Beruházások"/>
      <sheetName val="7. sz. Felújítások"/>
      <sheetName val="8.sz.Tartalékok"/>
      <sheetName val="9.sz. Szociális"/>
      <sheetName val="10.sz.Intézményfinanszírozás"/>
      <sheetName val="11.sz. Állami támogatás"/>
      <sheetName val="11.b.sz. Műk.célú tám.ÁHbelül"/>
      <sheetName val="12.sz.Felh.célú tám.ÁHbelül"/>
      <sheetName val="13.sz. Közhatalmi bevételek"/>
      <sheetName val="14.sz.Felhalmozási bev"/>
      <sheetName val="15.sz.mell. Létszámtábla"/>
      <sheetName val="1.sz.tájék.tábla Közvetett tá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6">
          <cell r="M16">
            <v>1834448550</v>
          </cell>
          <cell r="N16">
            <v>44440228</v>
          </cell>
        </row>
        <row r="17">
          <cell r="M17">
            <v>227236267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ézmények"/>
      <sheetName val="maradvánnyal"/>
      <sheetName val="Munka1"/>
    </sheetNames>
    <sheetDataSet>
      <sheetData sheetId="0" refreshError="1"/>
      <sheetData sheetId="1" refreshError="1"/>
      <sheetData sheetId="2">
        <row r="94">
          <cell r="D94">
            <v>2351625349</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NE61"/>
  <sheetViews>
    <sheetView view="pageBreakPreview" zoomScale="80" zoomScaleNormal="67" zoomScaleSheetLayoutView="80" workbookViewId="0">
      <pane xSplit="3" ySplit="7" topLeftCell="DE8" activePane="bottomRight" state="frozen"/>
      <selection activeCell="Y17" sqref="Y17"/>
      <selection pane="topRight" activeCell="Y17" sqref="Y17"/>
      <selection pane="bottomLeft" activeCell="Y17" sqref="Y17"/>
      <selection pane="bottomRight" activeCell="DE5" sqref="DE5:DG6"/>
    </sheetView>
  </sheetViews>
  <sheetFormatPr defaultColWidth="16.5703125" defaultRowHeight="15.75" x14ac:dyDescent="0.25"/>
  <cols>
    <col min="1" max="1" width="7" style="228" customWidth="1"/>
    <col min="2" max="2" width="69.5703125" style="204" customWidth="1"/>
    <col min="3" max="3" width="7.42578125" style="225" customWidth="1"/>
    <col min="4" max="6" width="17.7109375" style="204" customWidth="1"/>
    <col min="7" max="9" width="16.42578125" style="204" customWidth="1"/>
    <col min="10" max="10" width="16.5703125" style="204" customWidth="1"/>
    <col min="11" max="11" width="19.28515625" style="204" customWidth="1"/>
    <col min="12" max="12" width="17.85546875" style="204" customWidth="1"/>
    <col min="13" max="13" width="16.85546875" style="204" customWidth="1"/>
    <col min="14" max="14" width="19.28515625" style="204" customWidth="1"/>
    <col min="15" max="15" width="17.85546875" style="204" customWidth="1"/>
    <col min="16" max="16" width="16.85546875" style="204" customWidth="1"/>
    <col min="17" max="17" width="19.28515625" style="204" customWidth="1"/>
    <col min="18" max="18" width="17" style="204" customWidth="1"/>
    <col min="19" max="19" width="16" style="204" customWidth="1"/>
    <col min="20" max="20" width="19.28515625" style="204" customWidth="1"/>
    <col min="21" max="21" width="17.7109375" style="204" customWidth="1"/>
    <col min="22" max="22" width="16.42578125" style="204" customWidth="1"/>
    <col min="23" max="23" width="18.42578125" style="204" customWidth="1"/>
    <col min="24" max="24" width="16.5703125" style="204" customWidth="1"/>
    <col min="25" max="25" width="16.140625" style="204" customWidth="1"/>
    <col min="26" max="26" width="19.140625" style="204" customWidth="1"/>
    <col min="27" max="27" width="17.28515625" style="204" customWidth="1"/>
    <col min="28" max="28" width="16.42578125" style="204" customWidth="1"/>
    <col min="29" max="29" width="19.140625" style="204" customWidth="1"/>
    <col min="30" max="30" width="16.85546875" style="204" customWidth="1"/>
    <col min="31" max="31" width="17.5703125" style="204" customWidth="1"/>
    <col min="32" max="32" width="19" style="204" customWidth="1"/>
    <col min="33" max="33" width="17" style="204" customWidth="1"/>
    <col min="34" max="34" width="16.7109375" style="204" customWidth="1"/>
    <col min="35" max="35" width="18.7109375" style="204" customWidth="1"/>
    <col min="36" max="36" width="16.85546875" style="204" customWidth="1"/>
    <col min="37" max="39" width="17" style="204" customWidth="1"/>
    <col min="40" max="40" width="17.85546875" style="204" customWidth="1"/>
    <col min="41" max="41" width="20.5703125" style="204" customWidth="1"/>
    <col min="42" max="42" width="19.140625" style="204" customWidth="1"/>
    <col min="43" max="48" width="17" style="204" customWidth="1"/>
    <col min="49" max="51" width="17" style="245" customWidth="1"/>
    <col min="52" max="52" width="17.140625" style="204" customWidth="1"/>
    <col min="53" max="53" width="18.42578125" style="204" customWidth="1"/>
    <col min="54" max="54" width="16.85546875" style="204" customWidth="1"/>
    <col min="55" max="55" width="16.42578125" style="204" customWidth="1"/>
    <col min="56" max="56" width="18.85546875" style="204" customWidth="1"/>
    <col min="57" max="57" width="18" style="204" customWidth="1"/>
    <col min="58" max="58" width="16.28515625" style="202" customWidth="1"/>
    <col min="59" max="59" width="18.28515625" style="202" customWidth="1"/>
    <col min="60" max="60" width="16" style="202" customWidth="1"/>
    <col min="61" max="61" width="17.140625" style="202" customWidth="1"/>
    <col min="62" max="62" width="19.85546875" style="202" customWidth="1"/>
    <col min="63" max="63" width="18.42578125" style="202" customWidth="1"/>
    <col min="64" max="64" width="16.42578125" style="202" customWidth="1"/>
    <col min="65" max="65" width="19.140625" style="202" customWidth="1"/>
    <col min="66" max="66" width="16" style="202" customWidth="1"/>
    <col min="67" max="67" width="16.28515625" style="202" customWidth="1"/>
    <col min="68" max="68" width="20.5703125" style="202" customWidth="1"/>
    <col min="69" max="69" width="18.5703125" style="202" customWidth="1"/>
    <col min="70" max="70" width="17" style="247" customWidth="1"/>
    <col min="71" max="71" width="18.42578125" style="247" customWidth="1"/>
    <col min="72" max="72" width="17" style="247" customWidth="1"/>
    <col min="73" max="73" width="15.85546875" style="204" customWidth="1"/>
    <col min="74" max="74" width="18.28515625" style="204" customWidth="1"/>
    <col min="75" max="75" width="16.42578125" style="204" customWidth="1"/>
    <col min="76" max="76" width="16" style="204" customWidth="1"/>
    <col min="77" max="77" width="18.28515625" style="204" customWidth="1"/>
    <col min="78" max="78" width="16.7109375" style="204" customWidth="1"/>
    <col min="79" max="79" width="17.7109375" style="204" customWidth="1"/>
    <col min="80" max="80" width="19.5703125" style="204" customWidth="1"/>
    <col min="81" max="81" width="18" style="204" customWidth="1"/>
    <col min="82" max="82" width="17.42578125" style="204" customWidth="1"/>
    <col min="83" max="83" width="18.85546875" style="204" customWidth="1"/>
    <col min="84" max="84" width="16.85546875" style="204" customWidth="1"/>
    <col min="85" max="85" width="18" style="204" customWidth="1"/>
    <col min="86" max="86" width="20.7109375" style="204" customWidth="1"/>
    <col min="87" max="87" width="17.42578125" style="204" customWidth="1"/>
    <col min="88" max="90" width="17.85546875" style="204" customWidth="1"/>
    <col min="91" max="91" width="17.7109375" style="204" customWidth="1"/>
    <col min="92" max="92" width="19.140625" style="204" customWidth="1"/>
    <col min="93" max="93" width="17.5703125" style="204" customWidth="1"/>
    <col min="94" max="94" width="16.7109375" style="204" customWidth="1"/>
    <col min="95" max="95" width="18.85546875" style="204" customWidth="1"/>
    <col min="96" max="96" width="17.28515625" style="204" customWidth="1"/>
    <col min="97" max="97" width="17" style="202" customWidth="1"/>
    <col min="98" max="98" width="20.85546875" style="202" customWidth="1"/>
    <col min="99" max="99" width="17.140625" style="202" customWidth="1"/>
    <col min="100" max="100" width="16.7109375" style="202" customWidth="1"/>
    <col min="101" max="101" width="18.7109375" style="202" customWidth="1"/>
    <col min="102" max="102" width="17.140625" style="202" customWidth="1"/>
    <col min="103" max="103" width="15.85546875" style="202" customWidth="1"/>
    <col min="104" max="104" width="18.140625" style="202" customWidth="1"/>
    <col min="105" max="106" width="17.140625" style="202" customWidth="1"/>
    <col min="107" max="107" width="19.42578125" style="202" customWidth="1"/>
    <col min="108" max="108" width="17.42578125" style="202" customWidth="1"/>
    <col min="109" max="109" width="17.28515625" style="204" customWidth="1"/>
    <col min="110" max="110" width="19.140625" style="204" customWidth="1"/>
    <col min="111" max="111" width="17.140625" style="204" customWidth="1"/>
    <col min="112" max="112" width="15.5703125" style="204" customWidth="1"/>
    <col min="113" max="113" width="18.28515625" style="204" customWidth="1"/>
    <col min="114" max="114" width="16.42578125" style="204" customWidth="1"/>
    <col min="115" max="115" width="15.7109375" style="204" customWidth="1"/>
    <col min="116" max="116" width="18.140625" style="204" customWidth="1"/>
    <col min="117" max="117" width="16.7109375" style="204" customWidth="1"/>
    <col min="118" max="119" width="17.28515625" style="202" customWidth="1"/>
    <col min="120" max="120" width="15.7109375" style="202" customWidth="1"/>
    <col min="121" max="122" width="17.28515625" style="202" customWidth="1"/>
    <col min="123" max="123" width="16.28515625" style="202" customWidth="1"/>
    <col min="124" max="126" width="17.28515625" style="204" customWidth="1"/>
    <col min="127" max="129" width="17.42578125" style="204" customWidth="1"/>
    <col min="130" max="130" width="16.7109375" style="204" customWidth="1"/>
    <col min="131" max="131" width="18.140625" style="204" customWidth="1"/>
    <col min="132" max="132" width="16.5703125" style="204" customWidth="1"/>
    <col min="133" max="133" width="16.7109375" style="204" customWidth="1"/>
    <col min="134" max="134" width="18.140625" style="204" customWidth="1"/>
    <col min="135" max="135" width="16.28515625" style="204" customWidth="1"/>
    <col min="136" max="136" width="17.42578125" style="202" customWidth="1"/>
    <col min="137" max="137" width="18.28515625" style="202" customWidth="1"/>
    <col min="138" max="138" width="17.28515625" style="202" customWidth="1"/>
    <col min="139" max="139" width="16.42578125" style="204" customWidth="1"/>
    <col min="140" max="140" width="18.7109375" style="204" customWidth="1"/>
    <col min="141" max="141" width="16.7109375" style="204" customWidth="1"/>
    <col min="142" max="142" width="16.28515625" style="204" customWidth="1"/>
    <col min="143" max="143" width="18.140625" style="204" customWidth="1"/>
    <col min="144" max="144" width="16.28515625" style="204" customWidth="1"/>
    <col min="145" max="150" width="17" style="204" customWidth="1"/>
    <col min="151" max="151" width="17.42578125" style="204" customWidth="1"/>
    <col min="152" max="152" width="19.85546875" style="204" customWidth="1"/>
    <col min="153" max="153" width="20.140625" style="204" customWidth="1"/>
    <col min="154" max="155" width="17.7109375" style="204" customWidth="1"/>
    <col min="156" max="156" width="16.7109375" style="204" customWidth="1"/>
    <col min="157" max="159" width="18" style="204" customWidth="1"/>
    <col min="160" max="160" width="17.42578125" style="204" customWidth="1"/>
    <col min="161" max="161" width="18.7109375" style="204" customWidth="1"/>
    <col min="162" max="162" width="16.7109375" style="204" customWidth="1"/>
    <col min="163" max="163" width="17.42578125" style="202" customWidth="1"/>
    <col min="164" max="164" width="19.42578125" style="202" customWidth="1"/>
    <col min="165" max="165" width="17.42578125" style="202" customWidth="1"/>
    <col min="166" max="166" width="18" style="202" customWidth="1"/>
    <col min="167" max="167" width="19.42578125" style="202" customWidth="1"/>
    <col min="168" max="168" width="17.140625" style="202" customWidth="1"/>
    <col min="169" max="171" width="17.5703125" style="204" customWidth="1"/>
    <col min="172" max="172" width="16.85546875" style="204" customWidth="1"/>
    <col min="173" max="173" width="18.140625" style="204" customWidth="1"/>
    <col min="174" max="174" width="15.7109375" style="204" customWidth="1"/>
    <col min="175" max="175" width="16.140625" style="202" customWidth="1"/>
    <col min="176" max="176" width="18.140625" style="202" customWidth="1"/>
    <col min="177" max="177" width="16.85546875" style="202" customWidth="1"/>
    <col min="178" max="178" width="15.85546875" style="202" customWidth="1"/>
    <col min="179" max="179" width="18.140625" style="202" customWidth="1"/>
    <col min="180" max="180" width="16.28515625" style="202" customWidth="1"/>
    <col min="181" max="181" width="15.42578125" style="202" customWidth="1"/>
    <col min="182" max="182" width="18.140625" style="202" customWidth="1"/>
    <col min="183" max="183" width="16.140625" style="202" customWidth="1"/>
    <col min="184" max="184" width="16" style="245" customWidth="1"/>
    <col min="185" max="185" width="18.7109375" style="245" customWidth="1"/>
    <col min="186" max="186" width="16.28515625" style="245" customWidth="1"/>
    <col min="187" max="188" width="17.7109375" style="204" customWidth="1"/>
    <col min="189" max="189" width="16.140625" style="204" customWidth="1"/>
    <col min="190" max="191" width="17.42578125" style="204" customWidth="1"/>
    <col min="192" max="195" width="15.5703125" style="204" customWidth="1"/>
    <col min="196" max="197" width="17.42578125" style="204" customWidth="1"/>
    <col min="198" max="198" width="16.140625" style="204" customWidth="1"/>
    <col min="199" max="204" width="17.42578125" style="204" customWidth="1"/>
    <col min="205" max="205" width="17.85546875" style="204" customWidth="1"/>
    <col min="206" max="206" width="19.85546875" style="204" customWidth="1"/>
    <col min="207" max="207" width="17.42578125" style="204" customWidth="1"/>
    <col min="208" max="208" width="16.85546875" style="204" customWidth="1"/>
    <col min="209" max="209" width="18.85546875" style="204" customWidth="1"/>
    <col min="210" max="210" width="17.42578125" style="204" customWidth="1"/>
    <col min="211" max="211" width="16.5703125" style="245" customWidth="1"/>
    <col min="212" max="212" width="19.28515625" style="245" customWidth="1"/>
    <col min="213" max="213" width="17.42578125" style="245" customWidth="1"/>
    <col min="214" max="215" width="17.140625" style="204" customWidth="1"/>
    <col min="216" max="216" width="15.7109375" style="204" customWidth="1"/>
    <col min="217" max="217" width="16.140625" style="204" customWidth="1"/>
    <col min="218" max="218" width="18.140625" style="204" customWidth="1"/>
    <col min="219" max="219" width="16.5703125" style="204" customWidth="1"/>
    <col min="220" max="222" width="17.5703125" style="204" customWidth="1"/>
    <col min="223" max="223" width="14.85546875" style="204" customWidth="1"/>
    <col min="224" max="225" width="18.140625" style="204" customWidth="1"/>
    <col min="226" max="226" width="18.42578125" style="204" customWidth="1"/>
    <col min="227" max="227" width="19.7109375" style="204" customWidth="1"/>
    <col min="228" max="228" width="19.42578125" style="204" customWidth="1"/>
    <col min="229" max="229" width="19.85546875" style="204" customWidth="1"/>
    <col min="230" max="230" width="20.5703125" style="204" customWidth="1"/>
    <col min="231" max="231" width="19.7109375" style="204" customWidth="1"/>
    <col min="232" max="234" width="21.7109375" style="204" customWidth="1"/>
    <col min="235" max="237" width="15.85546875" style="204" customWidth="1"/>
    <col min="238" max="238" width="16.42578125" style="204" customWidth="1"/>
    <col min="239" max="239" width="18.7109375" style="204" customWidth="1"/>
    <col min="240" max="241" width="17.28515625" style="204" customWidth="1"/>
    <col min="242" max="242" width="18.5703125" style="204" customWidth="1"/>
    <col min="243" max="243" width="20" style="204" bestFit="1" customWidth="1"/>
    <col min="244" max="244" width="19.28515625" style="204" customWidth="1"/>
    <col min="245" max="245" width="18.7109375" style="204" bestFit="1" customWidth="1"/>
    <col min="246" max="246" width="17.42578125" style="204" customWidth="1"/>
    <col min="247" max="248" width="19.28515625" style="204" customWidth="1"/>
    <col min="249" max="249" width="16.5703125" style="204" customWidth="1"/>
    <col min="250" max="250" width="19.28515625" style="204" customWidth="1"/>
    <col min="251" max="251" width="17.85546875" style="204" customWidth="1"/>
    <col min="252" max="252" width="18" style="204" customWidth="1"/>
    <col min="253" max="253" width="19.28515625" style="204" customWidth="1"/>
    <col min="254" max="254" width="17.28515625" style="204" customWidth="1"/>
    <col min="255" max="255" width="17.7109375" style="202" customWidth="1"/>
    <col min="256" max="256" width="18.7109375" style="202" customWidth="1"/>
    <col min="257" max="257" width="17.28515625" style="202" customWidth="1"/>
    <col min="258" max="258" width="17.140625" style="202" customWidth="1"/>
    <col min="259" max="259" width="19.5703125" style="202" customWidth="1"/>
    <col min="260" max="260" width="18.5703125" style="202" customWidth="1"/>
    <col min="261" max="261" width="17.5703125" style="202" customWidth="1"/>
    <col min="262" max="262" width="21" style="202" customWidth="1"/>
    <col min="263" max="263" width="16.28515625" style="202" customWidth="1"/>
    <col min="264" max="264" width="15.28515625" style="202" customWidth="1"/>
    <col min="265" max="265" width="19.140625" style="202" customWidth="1"/>
    <col min="266" max="266" width="17.28515625" style="202" customWidth="1"/>
    <col min="267" max="267" width="16.7109375" style="202" customWidth="1"/>
    <col min="268" max="268" width="18.7109375" style="202" customWidth="1"/>
    <col min="269" max="269" width="17.140625" style="202" customWidth="1"/>
    <col min="270" max="270" width="16.28515625" style="202" customWidth="1"/>
    <col min="271" max="271" width="18.7109375" style="202" customWidth="1"/>
    <col min="272" max="272" width="16.7109375" style="202" customWidth="1"/>
    <col min="273" max="278" width="17.85546875" style="204" customWidth="1"/>
    <col min="279" max="279" width="17.42578125" style="202" customWidth="1"/>
    <col min="280" max="280" width="19.42578125" style="202" customWidth="1"/>
    <col min="281" max="281" width="17.140625" style="202" customWidth="1"/>
    <col min="282" max="282" width="16.140625" style="202" customWidth="1"/>
    <col min="283" max="283" width="19.42578125" style="202" customWidth="1"/>
    <col min="284" max="284" width="17.5703125" style="202" customWidth="1"/>
    <col min="285" max="285" width="17.28515625" style="247" customWidth="1"/>
    <col min="286" max="286" width="19.42578125" style="247" customWidth="1"/>
    <col min="287" max="287" width="16.140625" style="247" customWidth="1"/>
    <col min="288" max="288" width="16" style="247" customWidth="1"/>
    <col min="289" max="289" width="20.85546875" style="247" customWidth="1"/>
    <col min="290" max="291" width="17.140625" style="247" customWidth="1"/>
    <col min="292" max="292" width="19.7109375" style="247" customWidth="1"/>
    <col min="293" max="293" width="15.28515625" style="247" customWidth="1"/>
    <col min="294" max="294" width="16.5703125" style="247" customWidth="1"/>
    <col min="295" max="295" width="19.42578125" style="247" customWidth="1"/>
    <col min="296" max="296" width="16.42578125" style="247" customWidth="1"/>
    <col min="297" max="297" width="17.42578125" style="247" customWidth="1"/>
    <col min="298" max="298" width="18.5703125" style="247" customWidth="1"/>
    <col min="299" max="299" width="16.5703125" style="247" customWidth="1"/>
    <col min="300" max="300" width="20" style="247" bestFit="1" customWidth="1"/>
    <col min="301" max="301" width="20.28515625" style="247" customWidth="1"/>
    <col min="302" max="302" width="17.28515625" style="247" bestFit="1" customWidth="1"/>
    <col min="303" max="303" width="18" style="247" customWidth="1"/>
    <col min="304" max="304" width="21.28515625" style="247" customWidth="1"/>
    <col min="305" max="305" width="16.85546875" style="247" customWidth="1"/>
    <col min="306" max="306" width="17.85546875" style="247" customWidth="1"/>
    <col min="307" max="307" width="18" style="247" customWidth="1"/>
    <col min="308" max="308" width="15.42578125" style="247" customWidth="1"/>
    <col min="309" max="309" width="17.28515625" style="204" customWidth="1"/>
    <col min="310" max="310" width="19.7109375" style="204" customWidth="1"/>
    <col min="311" max="345" width="17" style="204" customWidth="1"/>
    <col min="346" max="347" width="16.85546875" style="204" customWidth="1"/>
    <col min="348" max="348" width="15.85546875" style="204" customWidth="1"/>
    <col min="349" max="349" width="18.42578125" style="204" customWidth="1"/>
    <col min="350" max="350" width="17" style="204" customWidth="1"/>
    <col min="351" max="351" width="16.5703125" style="204" customWidth="1"/>
    <col min="352" max="352" width="18.42578125" style="204" customWidth="1"/>
    <col min="353" max="353" width="16.5703125" style="204" customWidth="1"/>
    <col min="354" max="354" width="16.140625" style="204" customWidth="1"/>
    <col min="355" max="355" width="18.42578125" style="204" customWidth="1"/>
    <col min="356" max="357" width="16.42578125" style="204" customWidth="1"/>
    <col min="358" max="358" width="18.42578125" style="204" customWidth="1"/>
    <col min="359" max="359" width="16.42578125" style="204" customWidth="1"/>
    <col min="360" max="360" width="15.5703125" style="204" customWidth="1"/>
    <col min="361" max="361" width="18.42578125" style="204" customWidth="1"/>
    <col min="362" max="362" width="17.42578125" style="204" customWidth="1"/>
    <col min="363" max="363" width="18.42578125" style="204" customWidth="1"/>
    <col min="364" max="365" width="21.28515625" style="204" customWidth="1"/>
    <col min="366" max="367" width="18.42578125" style="204" customWidth="1"/>
    <col min="368" max="368" width="18.42578125" style="204" bestFit="1" customWidth="1"/>
    <col min="369" max="369" width="16.5703125" style="204" bestFit="1"/>
    <col min="370" max="16384" width="16.5703125" style="204"/>
  </cols>
  <sheetData>
    <row r="1" spans="1:369" ht="22.5" customHeight="1" x14ac:dyDescent="0.25">
      <c r="A1" s="202"/>
      <c r="B1" s="202"/>
      <c r="C1" s="203"/>
      <c r="D1" s="247"/>
      <c r="E1" s="247"/>
      <c r="F1" s="247"/>
      <c r="G1" s="238"/>
      <c r="I1" s="238" t="s">
        <v>415</v>
      </c>
      <c r="J1" s="247"/>
      <c r="K1" s="247"/>
      <c r="L1" s="247"/>
      <c r="M1" s="238"/>
      <c r="O1" s="238" t="s">
        <v>415</v>
      </c>
      <c r="P1" s="247"/>
      <c r="Q1" s="247"/>
      <c r="R1" s="247"/>
      <c r="S1" s="238"/>
      <c r="U1" s="238" t="s">
        <v>415</v>
      </c>
      <c r="V1" s="247"/>
      <c r="W1" s="247"/>
      <c r="X1" s="247"/>
      <c r="Y1" s="238"/>
      <c r="AA1" s="238" t="s">
        <v>415</v>
      </c>
      <c r="AB1" s="247"/>
      <c r="AC1" s="247"/>
      <c r="AD1" s="247"/>
      <c r="AE1" s="238"/>
      <c r="AG1" s="238" t="s">
        <v>415</v>
      </c>
      <c r="AH1" s="247"/>
      <c r="AI1" s="247"/>
      <c r="AJ1" s="247"/>
      <c r="AK1" s="238"/>
      <c r="AM1" s="238" t="s">
        <v>415</v>
      </c>
      <c r="AN1" s="247"/>
      <c r="AO1" s="247"/>
      <c r="AP1" s="247"/>
      <c r="AQ1" s="238"/>
      <c r="AS1" s="238" t="s">
        <v>415</v>
      </c>
      <c r="AT1" s="247"/>
      <c r="AU1" s="247"/>
      <c r="AV1" s="247"/>
      <c r="AW1" s="238"/>
      <c r="AX1" s="204"/>
      <c r="AY1" s="238" t="s">
        <v>415</v>
      </c>
      <c r="AZ1" s="247"/>
      <c r="BA1" s="247"/>
      <c r="BB1" s="247"/>
      <c r="BC1" s="238"/>
      <c r="BE1" s="238" t="s">
        <v>415</v>
      </c>
      <c r="BF1" s="247"/>
      <c r="BG1" s="247"/>
      <c r="BH1" s="247"/>
      <c r="BI1" s="238"/>
      <c r="BJ1" s="204"/>
      <c r="BK1" s="238" t="s">
        <v>415</v>
      </c>
      <c r="BL1" s="247"/>
      <c r="BM1" s="247"/>
      <c r="BN1" s="247"/>
      <c r="BO1" s="238"/>
      <c r="BP1" s="204"/>
      <c r="BQ1" s="238" t="s">
        <v>415</v>
      </c>
      <c r="BU1" s="238"/>
      <c r="BW1" s="238" t="s">
        <v>415</v>
      </c>
      <c r="BX1" s="247"/>
      <c r="BY1" s="247"/>
      <c r="BZ1" s="247"/>
      <c r="CA1" s="238"/>
      <c r="CC1" s="238" t="s">
        <v>415</v>
      </c>
      <c r="CD1" s="247"/>
      <c r="CE1" s="247"/>
      <c r="CF1" s="247"/>
      <c r="CG1" s="238"/>
      <c r="CI1" s="238" t="s">
        <v>415</v>
      </c>
      <c r="CJ1" s="247"/>
      <c r="CK1" s="247"/>
      <c r="CL1" s="247"/>
      <c r="CM1" s="238"/>
      <c r="CO1" s="238" t="s">
        <v>415</v>
      </c>
      <c r="CP1" s="247"/>
      <c r="CQ1" s="247"/>
      <c r="CR1" s="247"/>
      <c r="CS1" s="238"/>
      <c r="CT1" s="204"/>
      <c r="CU1" s="238" t="s">
        <v>415</v>
      </c>
      <c r="CV1" s="247"/>
      <c r="CW1" s="247"/>
      <c r="CX1" s="247"/>
      <c r="CY1" s="238"/>
      <c r="CZ1" s="204"/>
      <c r="DA1" s="238" t="s">
        <v>415</v>
      </c>
      <c r="DB1" s="247"/>
      <c r="DC1" s="247"/>
      <c r="DD1" s="247"/>
      <c r="DE1" s="238"/>
      <c r="DG1" s="238" t="s">
        <v>415</v>
      </c>
      <c r="DH1" s="247"/>
      <c r="DI1" s="247"/>
      <c r="DJ1" s="247"/>
      <c r="DK1" s="238"/>
      <c r="DM1" s="238" t="s">
        <v>415</v>
      </c>
      <c r="DN1" s="247"/>
      <c r="DO1" s="247"/>
      <c r="DP1" s="247"/>
      <c r="DQ1" s="238"/>
      <c r="DR1" s="204"/>
      <c r="DS1" s="238" t="s">
        <v>415</v>
      </c>
      <c r="DT1" s="247"/>
      <c r="DU1" s="247"/>
      <c r="DV1" s="247"/>
      <c r="DW1" s="238"/>
      <c r="DY1" s="238" t="s">
        <v>415</v>
      </c>
      <c r="DZ1" s="247"/>
      <c r="EA1" s="247"/>
      <c r="EB1" s="247"/>
      <c r="EC1" s="238"/>
      <c r="EE1" s="238" t="s">
        <v>415</v>
      </c>
      <c r="EF1" s="247"/>
      <c r="EG1" s="247"/>
      <c r="EH1" s="247"/>
      <c r="EI1" s="238"/>
      <c r="EK1" s="238" t="s">
        <v>415</v>
      </c>
      <c r="EL1" s="247"/>
      <c r="EM1" s="247"/>
      <c r="EN1" s="247"/>
      <c r="EO1" s="238"/>
      <c r="EQ1" s="238" t="s">
        <v>415</v>
      </c>
      <c r="ER1" s="247"/>
      <c r="ES1" s="247"/>
      <c r="ET1" s="247"/>
      <c r="EU1" s="238"/>
      <c r="EW1" s="238" t="s">
        <v>415</v>
      </c>
      <c r="EX1" s="247"/>
      <c r="EY1" s="247"/>
      <c r="EZ1" s="247"/>
      <c r="FA1" s="238"/>
      <c r="FC1" s="238" t="s">
        <v>415</v>
      </c>
      <c r="FD1" s="247"/>
      <c r="FE1" s="247"/>
      <c r="FF1" s="247"/>
      <c r="FG1" s="238"/>
      <c r="FH1" s="204"/>
      <c r="FI1" s="238" t="s">
        <v>415</v>
      </c>
      <c r="FJ1" s="247"/>
      <c r="FK1" s="247"/>
      <c r="FL1" s="247"/>
      <c r="FM1" s="238"/>
      <c r="FO1" s="238" t="s">
        <v>415</v>
      </c>
      <c r="FP1" s="247"/>
      <c r="FQ1" s="247"/>
      <c r="FR1" s="247"/>
      <c r="FS1" s="238"/>
      <c r="FT1" s="204"/>
      <c r="FU1" s="238" t="s">
        <v>415</v>
      </c>
      <c r="FV1" s="247"/>
      <c r="FW1" s="247"/>
      <c r="FX1" s="247"/>
      <c r="FY1" s="238"/>
      <c r="FZ1" s="204"/>
      <c r="GA1" s="238" t="s">
        <v>415</v>
      </c>
      <c r="GB1" s="247"/>
      <c r="GC1" s="247"/>
      <c r="GD1" s="247"/>
      <c r="GE1" s="238"/>
      <c r="GG1" s="238" t="s">
        <v>415</v>
      </c>
      <c r="GH1" s="247"/>
      <c r="GI1" s="247"/>
      <c r="GJ1" s="247"/>
      <c r="GK1" s="238"/>
      <c r="GM1" s="238" t="s">
        <v>415</v>
      </c>
      <c r="GN1" s="247"/>
      <c r="GO1" s="247"/>
      <c r="GP1" s="247"/>
      <c r="GQ1" s="238"/>
      <c r="GS1" s="238" t="s">
        <v>415</v>
      </c>
      <c r="GT1" s="247"/>
      <c r="GU1" s="247"/>
      <c r="GV1" s="247"/>
      <c r="GW1" s="238"/>
      <c r="GY1" s="238" t="s">
        <v>415</v>
      </c>
      <c r="GZ1" s="247"/>
      <c r="HA1" s="247"/>
      <c r="HB1" s="247"/>
      <c r="HC1" s="238"/>
      <c r="HD1" s="204"/>
      <c r="HE1" s="238" t="s">
        <v>415</v>
      </c>
      <c r="HF1" s="247"/>
      <c r="HG1" s="247"/>
      <c r="HH1" s="247"/>
      <c r="HI1" s="238"/>
      <c r="HK1" s="238" t="s">
        <v>415</v>
      </c>
      <c r="HL1" s="247"/>
      <c r="HM1" s="247"/>
      <c r="HN1" s="247"/>
      <c r="HO1" s="238"/>
      <c r="HQ1" s="238" t="s">
        <v>415</v>
      </c>
      <c r="HR1" s="247"/>
      <c r="HS1" s="247"/>
      <c r="HT1" s="247"/>
      <c r="HU1" s="238"/>
      <c r="HW1" s="238" t="s">
        <v>415</v>
      </c>
      <c r="HX1" s="247"/>
      <c r="HY1" s="247"/>
      <c r="HZ1" s="247"/>
      <c r="IA1" s="238"/>
      <c r="IC1" s="238" t="s">
        <v>415</v>
      </c>
      <c r="ID1" s="247"/>
      <c r="IE1" s="247"/>
      <c r="IF1" s="247"/>
      <c r="IG1" s="238"/>
      <c r="IH1" s="238" t="s">
        <v>415</v>
      </c>
      <c r="II1" s="247"/>
      <c r="IJ1" s="247"/>
      <c r="IK1" s="247"/>
      <c r="IL1" s="238"/>
      <c r="IN1" s="238" t="s">
        <v>415</v>
      </c>
      <c r="IO1" s="247"/>
      <c r="IP1" s="247"/>
      <c r="IQ1" s="238"/>
      <c r="IS1" s="247"/>
      <c r="IT1" s="238" t="s">
        <v>415</v>
      </c>
      <c r="IU1" s="247"/>
      <c r="IV1" s="238"/>
      <c r="IX1" s="247"/>
      <c r="IY1" s="247"/>
      <c r="IZ1" s="238" t="s">
        <v>415</v>
      </c>
      <c r="JA1" s="238"/>
      <c r="JC1" s="247"/>
      <c r="JD1" s="247"/>
      <c r="JE1" s="247"/>
      <c r="JF1" s="238" t="s">
        <v>415</v>
      </c>
      <c r="JH1" s="247"/>
      <c r="JI1" s="247"/>
      <c r="JJ1" s="247"/>
      <c r="JK1" s="238"/>
      <c r="JL1" s="238" t="s">
        <v>415</v>
      </c>
      <c r="JM1" s="247"/>
      <c r="JN1" s="247"/>
      <c r="JO1" s="247"/>
      <c r="JP1" s="238"/>
      <c r="JR1" s="238" t="s">
        <v>415</v>
      </c>
      <c r="JS1" s="247"/>
      <c r="JT1" s="247"/>
      <c r="JU1" s="238"/>
      <c r="JW1" s="247"/>
      <c r="JX1" s="238" t="s">
        <v>415</v>
      </c>
      <c r="JZ1" s="238"/>
      <c r="KD1" s="238" t="s">
        <v>415</v>
      </c>
      <c r="KE1" s="238"/>
      <c r="KJ1" s="238" t="s">
        <v>415</v>
      </c>
      <c r="KO1" s="238"/>
      <c r="KP1" s="238" t="s">
        <v>415</v>
      </c>
      <c r="KT1" s="238"/>
      <c r="KV1" s="238" t="s">
        <v>415</v>
      </c>
      <c r="KW1" s="247"/>
      <c r="KX1" s="247"/>
      <c r="KY1" s="238"/>
      <c r="LA1" s="247"/>
      <c r="LB1" s="238" t="s">
        <v>415</v>
      </c>
      <c r="LC1" s="247"/>
      <c r="LD1" s="238"/>
      <c r="LF1" s="247"/>
      <c r="LG1" s="247"/>
      <c r="LH1" s="238" t="s">
        <v>415</v>
      </c>
      <c r="LI1" s="238"/>
      <c r="LK1" s="247"/>
      <c r="LL1" s="247"/>
      <c r="LM1" s="247"/>
      <c r="LN1" s="238" t="s">
        <v>415</v>
      </c>
      <c r="LP1" s="247"/>
      <c r="LQ1" s="247"/>
      <c r="LR1" s="247"/>
      <c r="LS1" s="238"/>
      <c r="LT1" s="238" t="s">
        <v>415</v>
      </c>
      <c r="LU1" s="247"/>
      <c r="LV1" s="247"/>
      <c r="LW1" s="247"/>
      <c r="LX1" s="238"/>
      <c r="LZ1" s="238" t="s">
        <v>415</v>
      </c>
      <c r="MA1" s="247"/>
      <c r="MB1" s="247"/>
      <c r="MC1" s="238"/>
      <c r="ME1" s="247"/>
      <c r="MF1" s="238" t="s">
        <v>415</v>
      </c>
      <c r="MG1" s="247"/>
      <c r="MH1" s="238"/>
      <c r="MJ1" s="247"/>
      <c r="MK1" s="247"/>
      <c r="ML1" s="238" t="s">
        <v>415</v>
      </c>
      <c r="MM1" s="238"/>
      <c r="MO1" s="247"/>
      <c r="MP1" s="247"/>
      <c r="MQ1" s="247"/>
      <c r="MR1" s="238" t="s">
        <v>415</v>
      </c>
      <c r="MS1" s="238"/>
      <c r="MT1" s="247"/>
      <c r="MU1" s="247"/>
      <c r="MV1" s="247"/>
      <c r="MW1" s="238"/>
      <c r="MX1" s="238" t="s">
        <v>415</v>
      </c>
      <c r="MY1" s="238"/>
      <c r="MZ1" s="568"/>
      <c r="NA1" s="568"/>
      <c r="NB1" s="568"/>
      <c r="NC1" s="568"/>
    </row>
    <row r="2" spans="1:369" ht="36" customHeight="1" x14ac:dyDescent="0.25">
      <c r="A2" s="992" t="s">
        <v>255</v>
      </c>
      <c r="B2" s="992"/>
      <c r="C2" s="992"/>
      <c r="D2" s="683" t="s">
        <v>274</v>
      </c>
      <c r="E2" s="683" t="s">
        <v>1074</v>
      </c>
      <c r="F2" s="683" t="s">
        <v>1546</v>
      </c>
      <c r="G2" s="683" t="s">
        <v>274</v>
      </c>
      <c r="H2" s="683" t="s">
        <v>1074</v>
      </c>
      <c r="I2" s="683" t="s">
        <v>1546</v>
      </c>
      <c r="J2" s="683" t="s">
        <v>274</v>
      </c>
      <c r="K2" s="683" t="s">
        <v>1074</v>
      </c>
      <c r="L2" s="683" t="s">
        <v>1546</v>
      </c>
      <c r="M2" s="683" t="s">
        <v>274</v>
      </c>
      <c r="N2" s="683" t="s">
        <v>1074</v>
      </c>
      <c r="O2" s="683" t="s">
        <v>1546</v>
      </c>
      <c r="P2" s="683" t="s">
        <v>274</v>
      </c>
      <c r="Q2" s="683" t="s">
        <v>1074</v>
      </c>
      <c r="R2" s="683" t="s">
        <v>1546</v>
      </c>
      <c r="S2" s="683" t="s">
        <v>274</v>
      </c>
      <c r="T2" s="683" t="s">
        <v>1074</v>
      </c>
      <c r="U2" s="683" t="s">
        <v>1546</v>
      </c>
      <c r="V2" s="683" t="s">
        <v>274</v>
      </c>
      <c r="W2" s="683" t="s">
        <v>1074</v>
      </c>
      <c r="X2" s="683" t="s">
        <v>1546</v>
      </c>
      <c r="Y2" s="683" t="s">
        <v>274</v>
      </c>
      <c r="Z2" s="683" t="s">
        <v>1074</v>
      </c>
      <c r="AA2" s="683" t="s">
        <v>1546</v>
      </c>
      <c r="AB2" s="683" t="s">
        <v>274</v>
      </c>
      <c r="AC2" s="683" t="s">
        <v>1074</v>
      </c>
      <c r="AD2" s="683" t="s">
        <v>1546</v>
      </c>
      <c r="AE2" s="683" t="s">
        <v>274</v>
      </c>
      <c r="AF2" s="683" t="s">
        <v>1074</v>
      </c>
      <c r="AG2" s="683" t="s">
        <v>1546</v>
      </c>
      <c r="AH2" s="683" t="s">
        <v>274</v>
      </c>
      <c r="AI2" s="683" t="s">
        <v>1074</v>
      </c>
      <c r="AJ2" s="683" t="s">
        <v>1546</v>
      </c>
      <c r="AK2" s="683" t="s">
        <v>274</v>
      </c>
      <c r="AL2" s="683" t="s">
        <v>1074</v>
      </c>
      <c r="AM2" s="683" t="s">
        <v>1546</v>
      </c>
      <c r="AN2" s="683" t="s">
        <v>274</v>
      </c>
      <c r="AO2" s="683" t="s">
        <v>1074</v>
      </c>
      <c r="AP2" s="683" t="s">
        <v>1546</v>
      </c>
      <c r="AQ2" s="683" t="s">
        <v>274</v>
      </c>
      <c r="AR2" s="683" t="s">
        <v>1074</v>
      </c>
      <c r="AS2" s="683" t="s">
        <v>1546</v>
      </c>
      <c r="AT2" s="683" t="s">
        <v>274</v>
      </c>
      <c r="AU2" s="683" t="s">
        <v>1074</v>
      </c>
      <c r="AV2" s="683" t="s">
        <v>1546</v>
      </c>
      <c r="AW2" s="683" t="s">
        <v>274</v>
      </c>
      <c r="AX2" s="683" t="s">
        <v>1074</v>
      </c>
      <c r="AY2" s="683" t="s">
        <v>1546</v>
      </c>
      <c r="AZ2" s="683" t="s">
        <v>274</v>
      </c>
      <c r="BA2" s="683" t="s">
        <v>1074</v>
      </c>
      <c r="BB2" s="683" t="s">
        <v>1546</v>
      </c>
      <c r="BC2" s="683" t="s">
        <v>274</v>
      </c>
      <c r="BD2" s="683" t="s">
        <v>1074</v>
      </c>
      <c r="BE2" s="683" t="s">
        <v>1546</v>
      </c>
      <c r="BF2" s="683" t="s">
        <v>274</v>
      </c>
      <c r="BG2" s="683" t="s">
        <v>1074</v>
      </c>
      <c r="BH2" s="683" t="s">
        <v>1546</v>
      </c>
      <c r="BI2" s="683" t="s">
        <v>274</v>
      </c>
      <c r="BJ2" s="683" t="s">
        <v>1074</v>
      </c>
      <c r="BK2" s="683" t="s">
        <v>1546</v>
      </c>
      <c r="BL2" s="683" t="s">
        <v>274</v>
      </c>
      <c r="BM2" s="683" t="s">
        <v>1074</v>
      </c>
      <c r="BN2" s="683" t="s">
        <v>1546</v>
      </c>
      <c r="BO2" s="683" t="s">
        <v>274</v>
      </c>
      <c r="BP2" s="683" t="s">
        <v>1074</v>
      </c>
      <c r="BQ2" s="683" t="s">
        <v>1546</v>
      </c>
      <c r="BR2" s="683" t="s">
        <v>274</v>
      </c>
      <c r="BS2" s="683" t="s">
        <v>1074</v>
      </c>
      <c r="BT2" s="683" t="s">
        <v>1546</v>
      </c>
      <c r="BU2" s="683" t="s">
        <v>274</v>
      </c>
      <c r="BV2" s="683" t="s">
        <v>1074</v>
      </c>
      <c r="BW2" s="683" t="s">
        <v>1546</v>
      </c>
      <c r="BX2" s="683" t="s">
        <v>274</v>
      </c>
      <c r="BY2" s="683" t="s">
        <v>1074</v>
      </c>
      <c r="BZ2" s="683" t="s">
        <v>1546</v>
      </c>
      <c r="CA2" s="683" t="s">
        <v>274</v>
      </c>
      <c r="CB2" s="683" t="s">
        <v>1074</v>
      </c>
      <c r="CC2" s="683" t="s">
        <v>1546</v>
      </c>
      <c r="CD2" s="683" t="s">
        <v>274</v>
      </c>
      <c r="CE2" s="683" t="s">
        <v>1074</v>
      </c>
      <c r="CF2" s="683" t="s">
        <v>1546</v>
      </c>
      <c r="CG2" s="683" t="s">
        <v>274</v>
      </c>
      <c r="CH2" s="683" t="s">
        <v>1074</v>
      </c>
      <c r="CI2" s="683" t="s">
        <v>1546</v>
      </c>
      <c r="CJ2" s="683" t="s">
        <v>274</v>
      </c>
      <c r="CK2" s="683" t="s">
        <v>1074</v>
      </c>
      <c r="CL2" s="683" t="s">
        <v>1546</v>
      </c>
      <c r="CM2" s="683" t="s">
        <v>274</v>
      </c>
      <c r="CN2" s="683" t="s">
        <v>1074</v>
      </c>
      <c r="CO2" s="683" t="s">
        <v>1546</v>
      </c>
      <c r="CP2" s="683" t="s">
        <v>274</v>
      </c>
      <c r="CQ2" s="683" t="s">
        <v>1074</v>
      </c>
      <c r="CR2" s="683" t="s">
        <v>1546</v>
      </c>
      <c r="CS2" s="683" t="s">
        <v>274</v>
      </c>
      <c r="CT2" s="683" t="s">
        <v>1074</v>
      </c>
      <c r="CU2" s="683" t="s">
        <v>1546</v>
      </c>
      <c r="CV2" s="683" t="s">
        <v>274</v>
      </c>
      <c r="CW2" s="683" t="s">
        <v>1074</v>
      </c>
      <c r="CX2" s="683" t="s">
        <v>1546</v>
      </c>
      <c r="CY2" s="683" t="s">
        <v>274</v>
      </c>
      <c r="CZ2" s="683" t="s">
        <v>1074</v>
      </c>
      <c r="DA2" s="683" t="s">
        <v>1546</v>
      </c>
      <c r="DB2" s="683" t="s">
        <v>274</v>
      </c>
      <c r="DC2" s="683" t="s">
        <v>1074</v>
      </c>
      <c r="DD2" s="683" t="s">
        <v>1546</v>
      </c>
      <c r="DE2" s="683" t="s">
        <v>274</v>
      </c>
      <c r="DF2" s="683" t="s">
        <v>1074</v>
      </c>
      <c r="DG2" s="683" t="s">
        <v>1546</v>
      </c>
      <c r="DH2" s="683" t="s">
        <v>274</v>
      </c>
      <c r="DI2" s="683" t="s">
        <v>1074</v>
      </c>
      <c r="DJ2" s="683" t="s">
        <v>1546</v>
      </c>
      <c r="DK2" s="683" t="s">
        <v>274</v>
      </c>
      <c r="DL2" s="683" t="s">
        <v>1074</v>
      </c>
      <c r="DM2" s="683" t="s">
        <v>1546</v>
      </c>
      <c r="DN2" s="683" t="s">
        <v>274</v>
      </c>
      <c r="DO2" s="683" t="s">
        <v>1074</v>
      </c>
      <c r="DP2" s="683" t="s">
        <v>1546</v>
      </c>
      <c r="DQ2" s="683" t="s">
        <v>274</v>
      </c>
      <c r="DR2" s="683" t="s">
        <v>1074</v>
      </c>
      <c r="DS2" s="683" t="s">
        <v>1546</v>
      </c>
      <c r="DT2" s="683" t="s">
        <v>274</v>
      </c>
      <c r="DU2" s="683" t="s">
        <v>1074</v>
      </c>
      <c r="DV2" s="683" t="s">
        <v>1546</v>
      </c>
      <c r="DW2" s="683" t="s">
        <v>274</v>
      </c>
      <c r="DX2" s="683" t="s">
        <v>1074</v>
      </c>
      <c r="DY2" s="683" t="s">
        <v>1546</v>
      </c>
      <c r="DZ2" s="683" t="s">
        <v>274</v>
      </c>
      <c r="EA2" s="683" t="s">
        <v>1074</v>
      </c>
      <c r="EB2" s="683" t="s">
        <v>1546</v>
      </c>
      <c r="EC2" s="683" t="s">
        <v>274</v>
      </c>
      <c r="ED2" s="683" t="s">
        <v>1074</v>
      </c>
      <c r="EE2" s="683" t="s">
        <v>1546</v>
      </c>
      <c r="EF2" s="683" t="s">
        <v>274</v>
      </c>
      <c r="EG2" s="683" t="s">
        <v>1074</v>
      </c>
      <c r="EH2" s="683" t="s">
        <v>1546</v>
      </c>
      <c r="EI2" s="683" t="s">
        <v>274</v>
      </c>
      <c r="EJ2" s="683" t="s">
        <v>1074</v>
      </c>
      <c r="EK2" s="683" t="s">
        <v>1546</v>
      </c>
      <c r="EL2" s="683" t="s">
        <v>274</v>
      </c>
      <c r="EM2" s="683" t="s">
        <v>1074</v>
      </c>
      <c r="EN2" s="683" t="s">
        <v>1546</v>
      </c>
      <c r="EO2" s="683" t="s">
        <v>274</v>
      </c>
      <c r="EP2" s="683" t="s">
        <v>1074</v>
      </c>
      <c r="EQ2" s="683" t="s">
        <v>1546</v>
      </c>
      <c r="ER2" s="683" t="s">
        <v>274</v>
      </c>
      <c r="ES2" s="683" t="s">
        <v>1074</v>
      </c>
      <c r="ET2" s="683" t="s">
        <v>1546</v>
      </c>
      <c r="EU2" s="683" t="s">
        <v>274</v>
      </c>
      <c r="EV2" s="683" t="s">
        <v>1074</v>
      </c>
      <c r="EW2" s="683" t="s">
        <v>1546</v>
      </c>
      <c r="EX2" s="683" t="s">
        <v>274</v>
      </c>
      <c r="EY2" s="683" t="s">
        <v>1074</v>
      </c>
      <c r="EZ2" s="683" t="s">
        <v>1546</v>
      </c>
      <c r="FA2" s="683" t="s">
        <v>274</v>
      </c>
      <c r="FB2" s="683" t="s">
        <v>1074</v>
      </c>
      <c r="FC2" s="683" t="s">
        <v>1546</v>
      </c>
      <c r="FD2" s="683" t="s">
        <v>274</v>
      </c>
      <c r="FE2" s="683" t="s">
        <v>1074</v>
      </c>
      <c r="FF2" s="683" t="s">
        <v>1546</v>
      </c>
      <c r="FG2" s="683" t="s">
        <v>274</v>
      </c>
      <c r="FH2" s="683" t="s">
        <v>1074</v>
      </c>
      <c r="FI2" s="683" t="s">
        <v>1546</v>
      </c>
      <c r="FJ2" s="683" t="s">
        <v>274</v>
      </c>
      <c r="FK2" s="683" t="s">
        <v>1074</v>
      </c>
      <c r="FL2" s="683" t="s">
        <v>1546</v>
      </c>
      <c r="FM2" s="683" t="s">
        <v>274</v>
      </c>
      <c r="FN2" s="683" t="s">
        <v>1074</v>
      </c>
      <c r="FO2" s="683" t="s">
        <v>1546</v>
      </c>
      <c r="FP2" s="683" t="s">
        <v>274</v>
      </c>
      <c r="FQ2" s="683" t="s">
        <v>1074</v>
      </c>
      <c r="FR2" s="683" t="s">
        <v>1546</v>
      </c>
      <c r="FS2" s="683" t="s">
        <v>274</v>
      </c>
      <c r="FT2" s="683" t="s">
        <v>1074</v>
      </c>
      <c r="FU2" s="683" t="s">
        <v>1546</v>
      </c>
      <c r="FV2" s="683" t="s">
        <v>274</v>
      </c>
      <c r="FW2" s="683" t="s">
        <v>1074</v>
      </c>
      <c r="FX2" s="683" t="s">
        <v>1546</v>
      </c>
      <c r="FY2" s="683" t="s">
        <v>274</v>
      </c>
      <c r="FZ2" s="683" t="s">
        <v>1074</v>
      </c>
      <c r="GA2" s="683" t="s">
        <v>1546</v>
      </c>
      <c r="GB2" s="683" t="s">
        <v>274</v>
      </c>
      <c r="GC2" s="683" t="s">
        <v>1074</v>
      </c>
      <c r="GD2" s="683" t="s">
        <v>1546</v>
      </c>
      <c r="GE2" s="683" t="s">
        <v>274</v>
      </c>
      <c r="GF2" s="683" t="s">
        <v>1074</v>
      </c>
      <c r="GG2" s="683" t="s">
        <v>1546</v>
      </c>
      <c r="GH2" s="683" t="s">
        <v>274</v>
      </c>
      <c r="GI2" s="683" t="s">
        <v>1074</v>
      </c>
      <c r="GJ2" s="683" t="s">
        <v>1546</v>
      </c>
      <c r="GK2" s="683" t="s">
        <v>274</v>
      </c>
      <c r="GL2" s="683" t="s">
        <v>1074</v>
      </c>
      <c r="GM2" s="683" t="s">
        <v>1546</v>
      </c>
      <c r="GN2" s="683" t="s">
        <v>274</v>
      </c>
      <c r="GO2" s="683" t="s">
        <v>1074</v>
      </c>
      <c r="GP2" s="683" t="s">
        <v>1546</v>
      </c>
      <c r="GQ2" s="683" t="s">
        <v>274</v>
      </c>
      <c r="GR2" s="683" t="s">
        <v>1074</v>
      </c>
      <c r="GS2" s="683" t="s">
        <v>1546</v>
      </c>
      <c r="GT2" s="683" t="s">
        <v>274</v>
      </c>
      <c r="GU2" s="683" t="s">
        <v>1074</v>
      </c>
      <c r="GV2" s="683" t="s">
        <v>1546</v>
      </c>
      <c r="GW2" s="683" t="s">
        <v>274</v>
      </c>
      <c r="GX2" s="683" t="s">
        <v>1074</v>
      </c>
      <c r="GY2" s="683" t="s">
        <v>1546</v>
      </c>
      <c r="GZ2" s="683" t="s">
        <v>274</v>
      </c>
      <c r="HA2" s="683" t="s">
        <v>1074</v>
      </c>
      <c r="HB2" s="683" t="s">
        <v>1546</v>
      </c>
      <c r="HC2" s="683" t="s">
        <v>274</v>
      </c>
      <c r="HD2" s="683" t="s">
        <v>1074</v>
      </c>
      <c r="HE2" s="683" t="s">
        <v>1546</v>
      </c>
      <c r="HF2" s="683" t="s">
        <v>274</v>
      </c>
      <c r="HG2" s="683" t="s">
        <v>1074</v>
      </c>
      <c r="HH2" s="683" t="s">
        <v>1546</v>
      </c>
      <c r="HI2" s="683" t="s">
        <v>274</v>
      </c>
      <c r="HJ2" s="683" t="s">
        <v>1074</v>
      </c>
      <c r="HK2" s="683" t="s">
        <v>1546</v>
      </c>
      <c r="HL2" s="683" t="s">
        <v>274</v>
      </c>
      <c r="HM2" s="683" t="s">
        <v>1074</v>
      </c>
      <c r="HN2" s="683" t="s">
        <v>1546</v>
      </c>
      <c r="HO2" s="683" t="s">
        <v>274</v>
      </c>
      <c r="HP2" s="683" t="s">
        <v>1074</v>
      </c>
      <c r="HQ2" s="683" t="s">
        <v>1546</v>
      </c>
      <c r="HR2" s="683" t="s">
        <v>274</v>
      </c>
      <c r="HS2" s="683" t="s">
        <v>1074</v>
      </c>
      <c r="HT2" s="683" t="s">
        <v>1546</v>
      </c>
      <c r="HU2" s="683" t="s">
        <v>274</v>
      </c>
      <c r="HV2" s="683" t="s">
        <v>1074</v>
      </c>
      <c r="HW2" s="683" t="s">
        <v>1546</v>
      </c>
      <c r="HX2" s="683" t="s">
        <v>274</v>
      </c>
      <c r="HY2" s="683" t="s">
        <v>1074</v>
      </c>
      <c r="HZ2" s="683" t="s">
        <v>1546</v>
      </c>
      <c r="IA2" s="683" t="s">
        <v>274</v>
      </c>
      <c r="IB2" s="683" t="s">
        <v>1074</v>
      </c>
      <c r="IC2" s="683" t="s">
        <v>1546</v>
      </c>
      <c r="ID2" s="683" t="s">
        <v>274</v>
      </c>
      <c r="IE2" s="683" t="s">
        <v>1074</v>
      </c>
      <c r="IF2" s="683" t="s">
        <v>1546</v>
      </c>
      <c r="IG2" s="683" t="s">
        <v>274</v>
      </c>
      <c r="IH2" s="683" t="s">
        <v>1074</v>
      </c>
      <c r="II2" s="683" t="s">
        <v>274</v>
      </c>
      <c r="IJ2" s="683" t="s">
        <v>1074</v>
      </c>
      <c r="IK2" s="683" t="s">
        <v>1546</v>
      </c>
      <c r="IL2" s="683" t="s">
        <v>274</v>
      </c>
      <c r="IM2" s="683" t="s">
        <v>1074</v>
      </c>
      <c r="IN2" s="683" t="s">
        <v>1546</v>
      </c>
      <c r="IO2" s="683" t="s">
        <v>274</v>
      </c>
      <c r="IP2" s="683" t="s">
        <v>1074</v>
      </c>
      <c r="IQ2" s="683" t="s">
        <v>1546</v>
      </c>
      <c r="IR2" s="683" t="s">
        <v>274</v>
      </c>
      <c r="IS2" s="683" t="s">
        <v>1074</v>
      </c>
      <c r="IT2" s="683" t="s">
        <v>1546</v>
      </c>
      <c r="IU2" s="683" t="s">
        <v>274</v>
      </c>
      <c r="IV2" s="683" t="s">
        <v>1074</v>
      </c>
      <c r="IW2" s="683" t="s">
        <v>1546</v>
      </c>
      <c r="IX2" s="683" t="s">
        <v>274</v>
      </c>
      <c r="IY2" s="683" t="s">
        <v>1074</v>
      </c>
      <c r="IZ2" s="683" t="s">
        <v>1546</v>
      </c>
      <c r="JA2" s="683" t="s">
        <v>274</v>
      </c>
      <c r="JB2" s="683" t="s">
        <v>1074</v>
      </c>
      <c r="JC2" s="683" t="s">
        <v>1546</v>
      </c>
      <c r="JD2" s="683" t="s">
        <v>274</v>
      </c>
      <c r="JE2" s="683" t="s">
        <v>1074</v>
      </c>
      <c r="JF2" s="683" t="s">
        <v>1546</v>
      </c>
      <c r="JG2" s="683" t="s">
        <v>274</v>
      </c>
      <c r="JH2" s="683" t="s">
        <v>1074</v>
      </c>
      <c r="JI2" s="683" t="s">
        <v>1546</v>
      </c>
      <c r="JJ2" s="683" t="s">
        <v>274</v>
      </c>
      <c r="JK2" s="683" t="s">
        <v>1074</v>
      </c>
      <c r="JL2" s="683" t="s">
        <v>1546</v>
      </c>
      <c r="JM2" s="683" t="s">
        <v>274</v>
      </c>
      <c r="JN2" s="683" t="s">
        <v>1074</v>
      </c>
      <c r="JO2" s="683" t="s">
        <v>1546</v>
      </c>
      <c r="JP2" s="683" t="s">
        <v>274</v>
      </c>
      <c r="JQ2" s="683" t="s">
        <v>1074</v>
      </c>
      <c r="JR2" s="683" t="s">
        <v>1546</v>
      </c>
      <c r="JS2" s="683" t="s">
        <v>274</v>
      </c>
      <c r="JT2" s="683" t="s">
        <v>1074</v>
      </c>
      <c r="JU2" s="683" t="s">
        <v>1546</v>
      </c>
      <c r="JV2" s="683" t="s">
        <v>274</v>
      </c>
      <c r="JW2" s="683" t="s">
        <v>1074</v>
      </c>
      <c r="JX2" s="683" t="s">
        <v>1546</v>
      </c>
      <c r="JY2" s="683" t="s">
        <v>274</v>
      </c>
      <c r="JZ2" s="683" t="s">
        <v>1074</v>
      </c>
      <c r="KA2" s="683" t="s">
        <v>1546</v>
      </c>
      <c r="KB2" s="683" t="s">
        <v>274</v>
      </c>
      <c r="KC2" s="683" t="s">
        <v>1074</v>
      </c>
      <c r="KD2" s="683" t="s">
        <v>1546</v>
      </c>
      <c r="KE2" s="683" t="s">
        <v>274</v>
      </c>
      <c r="KF2" s="683" t="s">
        <v>1074</v>
      </c>
      <c r="KG2" s="683" t="s">
        <v>1546</v>
      </c>
      <c r="KH2" s="683" t="s">
        <v>274</v>
      </c>
      <c r="KI2" s="683" t="s">
        <v>1074</v>
      </c>
      <c r="KJ2" s="683" t="s">
        <v>1546</v>
      </c>
      <c r="KK2" s="683" t="s">
        <v>274</v>
      </c>
      <c r="KL2" s="683" t="s">
        <v>1074</v>
      </c>
      <c r="KM2" s="683" t="s">
        <v>1546</v>
      </c>
      <c r="KN2" s="683" t="s">
        <v>274</v>
      </c>
      <c r="KO2" s="683" t="s">
        <v>1074</v>
      </c>
      <c r="KP2" s="683" t="s">
        <v>1546</v>
      </c>
      <c r="KQ2" s="683" t="s">
        <v>274</v>
      </c>
      <c r="KR2" s="683" t="s">
        <v>1074</v>
      </c>
      <c r="KS2" s="683" t="s">
        <v>1546</v>
      </c>
      <c r="KT2" s="683" t="s">
        <v>274</v>
      </c>
      <c r="KU2" s="683" t="s">
        <v>1074</v>
      </c>
      <c r="KV2" s="683" t="s">
        <v>1546</v>
      </c>
      <c r="KW2" s="683" t="s">
        <v>274</v>
      </c>
      <c r="KX2" s="683" t="s">
        <v>1074</v>
      </c>
      <c r="KY2" s="683" t="s">
        <v>1546</v>
      </c>
      <c r="KZ2" s="683" t="s">
        <v>274</v>
      </c>
      <c r="LA2" s="683" t="s">
        <v>1074</v>
      </c>
      <c r="LB2" s="683" t="s">
        <v>1546</v>
      </c>
      <c r="LC2" s="683" t="s">
        <v>274</v>
      </c>
      <c r="LD2" s="683" t="s">
        <v>1074</v>
      </c>
      <c r="LE2" s="683" t="s">
        <v>1546</v>
      </c>
      <c r="LF2" s="683" t="s">
        <v>274</v>
      </c>
      <c r="LG2" s="683" t="s">
        <v>1074</v>
      </c>
      <c r="LH2" s="683" t="s">
        <v>1546</v>
      </c>
      <c r="LI2" s="683" t="s">
        <v>274</v>
      </c>
      <c r="LJ2" s="683" t="s">
        <v>1074</v>
      </c>
      <c r="LK2" s="683" t="s">
        <v>1546</v>
      </c>
      <c r="LL2" s="683" t="s">
        <v>274</v>
      </c>
      <c r="LM2" s="683" t="s">
        <v>1074</v>
      </c>
      <c r="LN2" s="683" t="s">
        <v>1546</v>
      </c>
      <c r="LO2" s="683" t="s">
        <v>274</v>
      </c>
      <c r="LP2" s="683" t="s">
        <v>1074</v>
      </c>
      <c r="LQ2" s="683" t="s">
        <v>1546</v>
      </c>
      <c r="LR2" s="683" t="s">
        <v>274</v>
      </c>
      <c r="LS2" s="683" t="s">
        <v>1074</v>
      </c>
      <c r="LT2" s="683" t="s">
        <v>1546</v>
      </c>
      <c r="LU2" s="683" t="s">
        <v>274</v>
      </c>
      <c r="LV2" s="683" t="s">
        <v>1074</v>
      </c>
      <c r="LW2" s="683" t="s">
        <v>1546</v>
      </c>
      <c r="LX2" s="683" t="s">
        <v>274</v>
      </c>
      <c r="LY2" s="683" t="s">
        <v>1074</v>
      </c>
      <c r="LZ2" s="683" t="s">
        <v>1546</v>
      </c>
      <c r="MA2" s="683" t="s">
        <v>274</v>
      </c>
      <c r="MB2" s="683" t="s">
        <v>1074</v>
      </c>
      <c r="MC2" s="683" t="s">
        <v>1546</v>
      </c>
      <c r="MD2" s="683" t="s">
        <v>274</v>
      </c>
      <c r="ME2" s="683" t="s">
        <v>1074</v>
      </c>
      <c r="MF2" s="683" t="s">
        <v>1546</v>
      </c>
      <c r="MG2" s="683" t="s">
        <v>274</v>
      </c>
      <c r="MH2" s="683" t="s">
        <v>1074</v>
      </c>
      <c r="MI2" s="683" t="s">
        <v>1546</v>
      </c>
      <c r="MJ2" s="683" t="s">
        <v>274</v>
      </c>
      <c r="MK2" s="683" t="s">
        <v>1074</v>
      </c>
      <c r="ML2" s="683" t="s">
        <v>1546</v>
      </c>
      <c r="MM2" s="683" t="s">
        <v>274</v>
      </c>
      <c r="MN2" s="683" t="s">
        <v>1074</v>
      </c>
      <c r="MO2" s="683" t="s">
        <v>1546</v>
      </c>
      <c r="MP2" s="683" t="s">
        <v>274</v>
      </c>
      <c r="MQ2" s="683" t="s">
        <v>1074</v>
      </c>
      <c r="MR2" s="683" t="s">
        <v>1546</v>
      </c>
      <c r="MS2" s="683" t="s">
        <v>274</v>
      </c>
      <c r="MT2" s="683" t="s">
        <v>1074</v>
      </c>
      <c r="MU2" s="683" t="s">
        <v>1546</v>
      </c>
      <c r="MV2" s="683" t="s">
        <v>274</v>
      </c>
      <c r="MW2" s="683" t="s">
        <v>1074</v>
      </c>
      <c r="MX2" s="683" t="s">
        <v>1546</v>
      </c>
      <c r="MY2" s="659"/>
      <c r="MZ2" s="659"/>
      <c r="NA2" s="659"/>
      <c r="NB2" s="659"/>
      <c r="NC2" s="659"/>
    </row>
    <row r="3" spans="1:369" ht="134.25" customHeight="1" x14ac:dyDescent="0.25">
      <c r="A3" s="993" t="s">
        <v>189</v>
      </c>
      <c r="B3" s="992" t="s">
        <v>247</v>
      </c>
      <c r="C3" s="992"/>
      <c r="D3" s="983" t="s">
        <v>1547</v>
      </c>
      <c r="E3" s="984"/>
      <c r="F3" s="985"/>
      <c r="G3" s="983" t="s">
        <v>1548</v>
      </c>
      <c r="H3" s="984" t="s">
        <v>463</v>
      </c>
      <c r="I3" s="985"/>
      <c r="J3" s="983" t="s">
        <v>1549</v>
      </c>
      <c r="K3" s="984" t="s">
        <v>586</v>
      </c>
      <c r="L3" s="985"/>
      <c r="M3" s="983" t="s">
        <v>1550</v>
      </c>
      <c r="N3" s="984" t="s">
        <v>586</v>
      </c>
      <c r="O3" s="985"/>
      <c r="P3" s="983" t="s">
        <v>1551</v>
      </c>
      <c r="Q3" s="984" t="s">
        <v>928</v>
      </c>
      <c r="R3" s="985"/>
      <c r="S3" s="983" t="s">
        <v>1552</v>
      </c>
      <c r="T3" s="984" t="s">
        <v>929</v>
      </c>
      <c r="U3" s="985"/>
      <c r="V3" s="983" t="s">
        <v>1553</v>
      </c>
      <c r="W3" s="984" t="s">
        <v>407</v>
      </c>
      <c r="X3" s="985"/>
      <c r="Y3" s="983" t="s">
        <v>1554</v>
      </c>
      <c r="Z3" s="984" t="s">
        <v>779</v>
      </c>
      <c r="AA3" s="985"/>
      <c r="AB3" s="983" t="s">
        <v>1555</v>
      </c>
      <c r="AC3" s="984" t="s">
        <v>589</v>
      </c>
      <c r="AD3" s="985"/>
      <c r="AE3" s="983" t="s">
        <v>1556</v>
      </c>
      <c r="AF3" s="984" t="s">
        <v>363</v>
      </c>
      <c r="AG3" s="985"/>
      <c r="AH3" s="983" t="s">
        <v>1557</v>
      </c>
      <c r="AI3" s="984" t="s">
        <v>363</v>
      </c>
      <c r="AJ3" s="985"/>
      <c r="AK3" s="983" t="s">
        <v>1558</v>
      </c>
      <c r="AL3" s="984" t="s">
        <v>371</v>
      </c>
      <c r="AM3" s="985"/>
      <c r="AN3" s="983" t="s">
        <v>474</v>
      </c>
      <c r="AO3" s="984" t="s">
        <v>474</v>
      </c>
      <c r="AP3" s="985"/>
      <c r="AQ3" s="983" t="s">
        <v>787</v>
      </c>
      <c r="AR3" s="984" t="s">
        <v>787</v>
      </c>
      <c r="AS3" s="985"/>
      <c r="AT3" s="983" t="s">
        <v>1559</v>
      </c>
      <c r="AU3" s="984" t="s">
        <v>936</v>
      </c>
      <c r="AV3" s="985"/>
      <c r="AW3" s="983" t="s">
        <v>1560</v>
      </c>
      <c r="AX3" s="984" t="s">
        <v>803</v>
      </c>
      <c r="AY3" s="985"/>
      <c r="AZ3" s="983" t="s">
        <v>1561</v>
      </c>
      <c r="BA3" s="984" t="s">
        <v>334</v>
      </c>
      <c r="BB3" s="985"/>
      <c r="BC3" s="983" t="s">
        <v>1561</v>
      </c>
      <c r="BD3" s="984" t="s">
        <v>334</v>
      </c>
      <c r="BE3" s="985"/>
      <c r="BF3" s="983" t="s">
        <v>1562</v>
      </c>
      <c r="BG3" s="984" t="s">
        <v>366</v>
      </c>
      <c r="BH3" s="985"/>
      <c r="BI3" s="983" t="s">
        <v>1563</v>
      </c>
      <c r="BJ3" s="984" t="s">
        <v>365</v>
      </c>
      <c r="BK3" s="985"/>
      <c r="BL3" s="983" t="s">
        <v>1564</v>
      </c>
      <c r="BM3" s="984" t="s">
        <v>744</v>
      </c>
      <c r="BN3" s="985"/>
      <c r="BO3" s="983" t="s">
        <v>1557</v>
      </c>
      <c r="BP3" s="984" t="s">
        <v>365</v>
      </c>
      <c r="BQ3" s="985"/>
      <c r="BR3" s="983" t="s">
        <v>1565</v>
      </c>
      <c r="BS3" s="984" t="s">
        <v>364</v>
      </c>
      <c r="BT3" s="985"/>
      <c r="BU3" s="983" t="s">
        <v>1564</v>
      </c>
      <c r="BV3" s="984" t="s">
        <v>780</v>
      </c>
      <c r="BW3" s="985"/>
      <c r="BX3" s="983" t="s">
        <v>250</v>
      </c>
      <c r="BY3" s="984" t="s">
        <v>250</v>
      </c>
      <c r="BZ3" s="985"/>
      <c r="CA3" s="983" t="s">
        <v>1566</v>
      </c>
      <c r="CB3" s="984" t="s">
        <v>743</v>
      </c>
      <c r="CC3" s="985"/>
      <c r="CD3" s="983" t="s">
        <v>1567</v>
      </c>
      <c r="CE3" s="984" t="s">
        <v>376</v>
      </c>
      <c r="CF3" s="985"/>
      <c r="CG3" s="983" t="s">
        <v>1568</v>
      </c>
      <c r="CH3" s="984" t="s">
        <v>1091</v>
      </c>
      <c r="CI3" s="985"/>
      <c r="CJ3" s="983" t="s">
        <v>1569</v>
      </c>
      <c r="CK3" s="984" t="s">
        <v>375</v>
      </c>
      <c r="CL3" s="985"/>
      <c r="CM3" s="983" t="s">
        <v>1570</v>
      </c>
      <c r="CN3" s="984" t="s">
        <v>400</v>
      </c>
      <c r="CO3" s="985"/>
      <c r="CP3" s="983" t="s">
        <v>1571</v>
      </c>
      <c r="CQ3" s="984" t="s">
        <v>496</v>
      </c>
      <c r="CR3" s="985"/>
      <c r="CS3" s="983" t="s">
        <v>1572</v>
      </c>
      <c r="CT3" s="984" t="s">
        <v>374</v>
      </c>
      <c r="CU3" s="985"/>
      <c r="CV3" s="983" t="s">
        <v>1557</v>
      </c>
      <c r="CW3" s="984" t="s">
        <v>374</v>
      </c>
      <c r="CX3" s="985"/>
      <c r="CY3" s="983" t="s">
        <v>1573</v>
      </c>
      <c r="CZ3" s="984" t="s">
        <v>465</v>
      </c>
      <c r="DA3" s="985"/>
      <c r="DB3" s="983" t="s">
        <v>1574</v>
      </c>
      <c r="DC3" s="984" t="s">
        <v>410</v>
      </c>
      <c r="DD3" s="985"/>
      <c r="DE3" s="983" t="s">
        <v>1575</v>
      </c>
      <c r="DF3" s="984" t="s">
        <v>402</v>
      </c>
      <c r="DG3" s="985"/>
      <c r="DH3" s="983" t="s">
        <v>1576</v>
      </c>
      <c r="DI3" s="984" t="s">
        <v>373</v>
      </c>
      <c r="DJ3" s="985"/>
      <c r="DK3" s="983" t="s">
        <v>1577</v>
      </c>
      <c r="DL3" s="984" t="s">
        <v>653</v>
      </c>
      <c r="DM3" s="985"/>
      <c r="DN3" s="983" t="s">
        <v>251</v>
      </c>
      <c r="DO3" s="984" t="s">
        <v>251</v>
      </c>
      <c r="DP3" s="985"/>
      <c r="DQ3" s="983" t="s">
        <v>1558</v>
      </c>
      <c r="DR3" s="984" t="s">
        <v>407</v>
      </c>
      <c r="DS3" s="985"/>
      <c r="DT3" s="983" t="s">
        <v>1578</v>
      </c>
      <c r="DU3" s="984" t="s">
        <v>397</v>
      </c>
      <c r="DV3" s="985"/>
      <c r="DW3" s="983" t="s">
        <v>1579</v>
      </c>
      <c r="DX3" s="984" t="s">
        <v>256</v>
      </c>
      <c r="DY3" s="985"/>
      <c r="DZ3" s="983" t="s">
        <v>1580</v>
      </c>
      <c r="EA3" s="984" t="s">
        <v>372</v>
      </c>
      <c r="EB3" s="985"/>
      <c r="EC3" s="983" t="s">
        <v>1581</v>
      </c>
      <c r="ED3" s="984"/>
      <c r="EE3" s="985"/>
      <c r="EF3" s="983" t="s">
        <v>1581</v>
      </c>
      <c r="EG3" s="984"/>
      <c r="EH3" s="985"/>
      <c r="EI3" s="983" t="s">
        <v>1582</v>
      </c>
      <c r="EJ3" s="984" t="s">
        <v>371</v>
      </c>
      <c r="EK3" s="985"/>
      <c r="EL3" s="983" t="s">
        <v>252</v>
      </c>
      <c r="EM3" s="984" t="s">
        <v>252</v>
      </c>
      <c r="EN3" s="985"/>
      <c r="EO3" s="983" t="s">
        <v>1583</v>
      </c>
      <c r="EP3" s="984" t="s">
        <v>458</v>
      </c>
      <c r="EQ3" s="985"/>
      <c r="ER3" s="983" t="s">
        <v>458</v>
      </c>
      <c r="ES3" s="984" t="s">
        <v>458</v>
      </c>
      <c r="ET3" s="985"/>
      <c r="EU3" s="983" t="s">
        <v>1584</v>
      </c>
      <c r="EV3" s="984" t="s">
        <v>370</v>
      </c>
      <c r="EW3" s="985"/>
      <c r="EX3" s="983" t="s">
        <v>1585</v>
      </c>
      <c r="EY3" s="984" t="s">
        <v>369</v>
      </c>
      <c r="EZ3" s="985"/>
      <c r="FA3" s="983" t="s">
        <v>1565</v>
      </c>
      <c r="FB3" s="984" t="s">
        <v>368</v>
      </c>
      <c r="FC3" s="985"/>
      <c r="FD3" s="983" t="s">
        <v>1586</v>
      </c>
      <c r="FE3" s="984" t="s">
        <v>781</v>
      </c>
      <c r="FF3" s="985"/>
      <c r="FG3" s="983" t="s">
        <v>1587</v>
      </c>
      <c r="FH3" s="984" t="s">
        <v>575</v>
      </c>
      <c r="FI3" s="985"/>
      <c r="FJ3" s="983" t="s">
        <v>1588</v>
      </c>
      <c r="FK3" s="984" t="s">
        <v>786</v>
      </c>
      <c r="FL3" s="985"/>
      <c r="FM3" s="983" t="s">
        <v>1589</v>
      </c>
      <c r="FN3" s="984" t="s">
        <v>656</v>
      </c>
      <c r="FO3" s="985"/>
      <c r="FP3" s="983" t="s">
        <v>1590</v>
      </c>
      <c r="FQ3" s="984" t="s">
        <v>783</v>
      </c>
      <c r="FR3" s="985"/>
      <c r="FS3" s="983" t="s">
        <v>1591</v>
      </c>
      <c r="FT3" s="984" t="s">
        <v>782</v>
      </c>
      <c r="FU3" s="985"/>
      <c r="FV3" s="983" t="s">
        <v>1574</v>
      </c>
      <c r="FW3" s="984" t="s">
        <v>410</v>
      </c>
      <c r="FX3" s="985"/>
      <c r="FY3" s="983" t="s">
        <v>1592</v>
      </c>
      <c r="FZ3" s="984" t="s">
        <v>410</v>
      </c>
      <c r="GA3" s="985"/>
      <c r="GB3" s="983" t="s">
        <v>1593</v>
      </c>
      <c r="GC3" s="984" t="s">
        <v>492</v>
      </c>
      <c r="GD3" s="985"/>
      <c r="GE3" s="983" t="s">
        <v>1594</v>
      </c>
      <c r="GF3" s="984" t="s">
        <v>515</v>
      </c>
      <c r="GG3" s="985"/>
      <c r="GH3" s="983" t="s">
        <v>1594</v>
      </c>
      <c r="GI3" s="984" t="s">
        <v>515</v>
      </c>
      <c r="GJ3" s="985"/>
      <c r="GK3" s="983" t="s">
        <v>1594</v>
      </c>
      <c r="GL3" s="984" t="s">
        <v>515</v>
      </c>
      <c r="GM3" s="985"/>
      <c r="GN3" s="983" t="s">
        <v>1595</v>
      </c>
      <c r="GO3" s="984" t="s">
        <v>513</v>
      </c>
      <c r="GP3" s="985"/>
      <c r="GQ3" s="983" t="s">
        <v>1595</v>
      </c>
      <c r="GR3" s="984" t="s">
        <v>513</v>
      </c>
      <c r="GS3" s="985"/>
      <c r="GT3" s="983" t="s">
        <v>1595</v>
      </c>
      <c r="GU3" s="984" t="s">
        <v>513</v>
      </c>
      <c r="GV3" s="985"/>
      <c r="GW3" s="983" t="s">
        <v>1596</v>
      </c>
      <c r="GX3" s="984" t="s">
        <v>367</v>
      </c>
      <c r="GY3" s="985"/>
      <c r="GZ3" s="983" t="s">
        <v>1597</v>
      </c>
      <c r="HA3" s="984" t="s">
        <v>404</v>
      </c>
      <c r="HB3" s="985"/>
      <c r="HC3" s="983" t="s">
        <v>1598</v>
      </c>
      <c r="HD3" s="984" t="s">
        <v>403</v>
      </c>
      <c r="HE3" s="985"/>
      <c r="HF3" s="983" t="s">
        <v>1599</v>
      </c>
      <c r="HG3" s="984" t="s">
        <v>405</v>
      </c>
      <c r="HH3" s="985"/>
      <c r="HI3" s="983" t="s">
        <v>1600</v>
      </c>
      <c r="HJ3" s="984" t="s">
        <v>601</v>
      </c>
      <c r="HK3" s="985"/>
      <c r="HL3" s="983" t="s">
        <v>1601</v>
      </c>
      <c r="HM3" s="984" t="s">
        <v>490</v>
      </c>
      <c r="HN3" s="985"/>
      <c r="HO3" s="983" t="s">
        <v>1602</v>
      </c>
      <c r="HP3" s="984" t="s">
        <v>608</v>
      </c>
      <c r="HQ3" s="985"/>
      <c r="HR3" s="983" t="s">
        <v>1603</v>
      </c>
      <c r="HS3" s="984" t="s">
        <v>657</v>
      </c>
      <c r="HT3" s="985"/>
      <c r="HU3" s="983" t="s">
        <v>1604</v>
      </c>
      <c r="HV3" s="984" t="s">
        <v>658</v>
      </c>
      <c r="HW3" s="985"/>
      <c r="HX3" s="983" t="s">
        <v>1605</v>
      </c>
      <c r="HY3" s="984" t="s">
        <v>659</v>
      </c>
      <c r="HZ3" s="985"/>
      <c r="IA3" s="983" t="s">
        <v>1606</v>
      </c>
      <c r="IB3" s="984" t="s">
        <v>661</v>
      </c>
      <c r="IC3" s="985"/>
      <c r="ID3" s="983" t="s">
        <v>1607</v>
      </c>
      <c r="IE3" s="984" t="s">
        <v>732</v>
      </c>
      <c r="IF3" s="985"/>
      <c r="IG3" s="983" t="s">
        <v>275</v>
      </c>
      <c r="IH3" s="985"/>
      <c r="II3" s="983" t="s">
        <v>1608</v>
      </c>
      <c r="IJ3" s="984"/>
      <c r="IK3" s="985"/>
      <c r="IL3" s="986"/>
      <c r="IM3" s="987"/>
      <c r="IN3" s="988"/>
      <c r="IO3" s="986" t="s">
        <v>536</v>
      </c>
      <c r="IP3" s="987" t="s">
        <v>536</v>
      </c>
      <c r="IQ3" s="988"/>
      <c r="IR3" s="986" t="s">
        <v>1609</v>
      </c>
      <c r="IS3" s="987" t="s">
        <v>977</v>
      </c>
      <c r="IT3" s="988"/>
      <c r="IU3" s="986" t="s">
        <v>275</v>
      </c>
      <c r="IV3" s="987" t="s">
        <v>275</v>
      </c>
      <c r="IW3" s="988"/>
      <c r="IX3" s="986" t="s">
        <v>1610</v>
      </c>
      <c r="IY3" s="987"/>
      <c r="IZ3" s="988"/>
      <c r="JA3" s="986" t="s">
        <v>1611</v>
      </c>
      <c r="JB3" s="987"/>
      <c r="JC3" s="988"/>
      <c r="JD3" s="986" t="s">
        <v>1612</v>
      </c>
      <c r="JE3" s="987" t="s">
        <v>784</v>
      </c>
      <c r="JF3" s="988"/>
      <c r="JG3" s="986" t="s">
        <v>1613</v>
      </c>
      <c r="JH3" s="987" t="s">
        <v>545</v>
      </c>
      <c r="JI3" s="988"/>
      <c r="JJ3" s="986" t="s">
        <v>1614</v>
      </c>
      <c r="JK3" s="987" t="s">
        <v>348</v>
      </c>
      <c r="JL3" s="988"/>
      <c r="JM3" s="986" t="s">
        <v>1615</v>
      </c>
      <c r="JN3" s="987" t="s">
        <v>537</v>
      </c>
      <c r="JO3" s="988"/>
      <c r="JP3" s="986" t="s">
        <v>760</v>
      </c>
      <c r="JQ3" s="987" t="s">
        <v>760</v>
      </c>
      <c r="JR3" s="988"/>
      <c r="JS3" s="986" t="s">
        <v>1616</v>
      </c>
      <c r="JT3" s="987" t="s">
        <v>511</v>
      </c>
      <c r="JU3" s="988"/>
      <c r="JV3" s="986" t="s">
        <v>798</v>
      </c>
      <c r="JW3" s="987" t="s">
        <v>798</v>
      </c>
      <c r="JX3" s="988"/>
      <c r="JY3" s="986" t="s">
        <v>1612</v>
      </c>
      <c r="JZ3" s="987" t="s">
        <v>784</v>
      </c>
      <c r="KA3" s="988"/>
      <c r="KB3" s="986" t="s">
        <v>1612</v>
      </c>
      <c r="KC3" s="987" t="s">
        <v>784</v>
      </c>
      <c r="KD3" s="988"/>
      <c r="KE3" s="986" t="s">
        <v>1617</v>
      </c>
      <c r="KF3" s="987" t="s">
        <v>657</v>
      </c>
      <c r="KG3" s="988"/>
      <c r="KH3" s="986" t="s">
        <v>1618</v>
      </c>
      <c r="KI3" s="987" t="s">
        <v>658</v>
      </c>
      <c r="KJ3" s="988"/>
      <c r="KK3" s="986" t="s">
        <v>1607</v>
      </c>
      <c r="KL3" s="987" t="s">
        <v>732</v>
      </c>
      <c r="KM3" s="988"/>
      <c r="KN3" s="986" t="s">
        <v>1574</v>
      </c>
      <c r="KO3" s="987" t="s">
        <v>410</v>
      </c>
      <c r="KP3" s="988"/>
      <c r="KQ3" s="986" t="s">
        <v>1619</v>
      </c>
      <c r="KR3" s="987" t="s">
        <v>410</v>
      </c>
      <c r="KS3" s="988"/>
      <c r="KT3" s="986" t="s">
        <v>1620</v>
      </c>
      <c r="KU3" s="987" t="s">
        <v>463</v>
      </c>
      <c r="KV3" s="988"/>
      <c r="KW3" s="986" t="s">
        <v>1580</v>
      </c>
      <c r="KX3" s="987" t="s">
        <v>372</v>
      </c>
      <c r="KY3" s="988"/>
      <c r="KZ3" s="986" t="s">
        <v>1621</v>
      </c>
      <c r="LA3" s="987" t="s">
        <v>778</v>
      </c>
      <c r="LB3" s="988"/>
      <c r="LC3" s="986" t="s">
        <v>1622</v>
      </c>
      <c r="LD3" s="987" t="s">
        <v>778</v>
      </c>
      <c r="LE3" s="988"/>
      <c r="LF3" s="986" t="s">
        <v>1623</v>
      </c>
      <c r="LG3" s="987" t="s">
        <v>362</v>
      </c>
      <c r="LH3" s="988"/>
      <c r="LI3" s="986" t="s">
        <v>1624</v>
      </c>
      <c r="LJ3" s="987" t="s">
        <v>362</v>
      </c>
      <c r="LK3" s="988"/>
      <c r="LL3" s="986" t="s">
        <v>1553</v>
      </c>
      <c r="LM3" s="987" t="s">
        <v>407</v>
      </c>
      <c r="LN3" s="988"/>
      <c r="LO3" s="986" t="s">
        <v>1558</v>
      </c>
      <c r="LP3" s="987" t="s">
        <v>407</v>
      </c>
      <c r="LQ3" s="988"/>
      <c r="LR3" s="986" t="s">
        <v>1615</v>
      </c>
      <c r="LS3" s="987" t="s">
        <v>537</v>
      </c>
      <c r="LT3" s="988"/>
      <c r="LU3" s="986" t="s">
        <v>1625</v>
      </c>
      <c r="LV3" s="987" t="s">
        <v>537</v>
      </c>
      <c r="LW3" s="988"/>
      <c r="LX3" s="986" t="s">
        <v>1619</v>
      </c>
      <c r="LY3" s="987" t="s">
        <v>410</v>
      </c>
      <c r="LZ3" s="988"/>
      <c r="MA3" s="986" t="s">
        <v>1574</v>
      </c>
      <c r="MB3" s="987" t="s">
        <v>410</v>
      </c>
      <c r="MC3" s="988"/>
      <c r="MD3" s="986" t="s">
        <v>1626</v>
      </c>
      <c r="ME3" s="987" t="s">
        <v>784</v>
      </c>
      <c r="MF3" s="988"/>
      <c r="MG3" s="986" t="s">
        <v>1612</v>
      </c>
      <c r="MH3" s="987" t="s">
        <v>784</v>
      </c>
      <c r="MI3" s="988"/>
      <c r="MJ3" s="986" t="s">
        <v>1574</v>
      </c>
      <c r="MK3" s="987" t="s">
        <v>410</v>
      </c>
      <c r="ML3" s="988"/>
      <c r="MM3" s="986" t="s">
        <v>2074</v>
      </c>
      <c r="MN3" s="987" t="s">
        <v>410</v>
      </c>
      <c r="MO3" s="988"/>
      <c r="MP3" s="986" t="s">
        <v>1624</v>
      </c>
      <c r="MQ3" s="987" t="s">
        <v>362</v>
      </c>
      <c r="MR3" s="988"/>
      <c r="MS3" s="986" t="s">
        <v>1627</v>
      </c>
      <c r="MT3" s="987" t="s">
        <v>476</v>
      </c>
      <c r="MU3" s="988"/>
      <c r="MV3" s="989" t="s">
        <v>1628</v>
      </c>
      <c r="MW3" s="990"/>
      <c r="MX3" s="991"/>
      <c r="MY3" s="660"/>
      <c r="MZ3" s="660"/>
      <c r="NA3" s="660"/>
      <c r="NB3" s="660"/>
      <c r="NC3" s="660"/>
    </row>
    <row r="4" spans="1:369" ht="28.5" customHeight="1" x14ac:dyDescent="0.25">
      <c r="A4" s="993"/>
      <c r="B4" s="992" t="s">
        <v>11</v>
      </c>
      <c r="C4" s="992"/>
      <c r="D4" s="983" t="s">
        <v>225</v>
      </c>
      <c r="E4" s="984"/>
      <c r="F4" s="985"/>
      <c r="G4" s="983" t="s">
        <v>225</v>
      </c>
      <c r="H4" s="984" t="s">
        <v>225</v>
      </c>
      <c r="I4" s="985"/>
      <c r="J4" s="983" t="s">
        <v>225</v>
      </c>
      <c r="K4" s="984" t="s">
        <v>225</v>
      </c>
      <c r="L4" s="985"/>
      <c r="M4" s="983" t="s">
        <v>226</v>
      </c>
      <c r="N4" s="984" t="s">
        <v>226</v>
      </c>
      <c r="O4" s="985"/>
      <c r="P4" s="983" t="s">
        <v>225</v>
      </c>
      <c r="Q4" s="984" t="s">
        <v>225</v>
      </c>
      <c r="R4" s="985"/>
      <c r="S4" s="983" t="s">
        <v>225</v>
      </c>
      <c r="T4" s="984" t="s">
        <v>225</v>
      </c>
      <c r="U4" s="985"/>
      <c r="V4" s="983" t="s">
        <v>225</v>
      </c>
      <c r="W4" s="984" t="s">
        <v>225</v>
      </c>
      <c r="X4" s="985"/>
      <c r="Y4" s="983" t="s">
        <v>225</v>
      </c>
      <c r="Z4" s="984" t="s">
        <v>225</v>
      </c>
      <c r="AA4" s="985"/>
      <c r="AB4" s="983" t="s">
        <v>225</v>
      </c>
      <c r="AC4" s="984" t="s">
        <v>225</v>
      </c>
      <c r="AD4" s="985"/>
      <c r="AE4" s="983" t="s">
        <v>225</v>
      </c>
      <c r="AF4" s="984" t="s">
        <v>225</v>
      </c>
      <c r="AG4" s="985"/>
      <c r="AH4" s="983" t="s">
        <v>226</v>
      </c>
      <c r="AI4" s="984" t="s">
        <v>226</v>
      </c>
      <c r="AJ4" s="985"/>
      <c r="AK4" s="983" t="s">
        <v>226</v>
      </c>
      <c r="AL4" s="984" t="s">
        <v>226</v>
      </c>
      <c r="AM4" s="985"/>
      <c r="AN4" s="983" t="s">
        <v>225</v>
      </c>
      <c r="AO4" s="984" t="s">
        <v>225</v>
      </c>
      <c r="AP4" s="985"/>
      <c r="AQ4" s="983" t="s">
        <v>225</v>
      </c>
      <c r="AR4" s="984" t="s">
        <v>225</v>
      </c>
      <c r="AS4" s="985"/>
      <c r="AT4" s="983" t="s">
        <v>225</v>
      </c>
      <c r="AU4" s="984" t="s">
        <v>225</v>
      </c>
      <c r="AV4" s="985"/>
      <c r="AW4" s="983" t="s">
        <v>225</v>
      </c>
      <c r="AX4" s="984" t="s">
        <v>225</v>
      </c>
      <c r="AY4" s="985"/>
      <c r="AZ4" s="983" t="s">
        <v>225</v>
      </c>
      <c r="BA4" s="984" t="s">
        <v>225</v>
      </c>
      <c r="BB4" s="985"/>
      <c r="BC4" s="983" t="s">
        <v>225</v>
      </c>
      <c r="BD4" s="984" t="s">
        <v>225</v>
      </c>
      <c r="BE4" s="985"/>
      <c r="BF4" s="983" t="s">
        <v>225</v>
      </c>
      <c r="BG4" s="984" t="s">
        <v>225</v>
      </c>
      <c r="BH4" s="985"/>
      <c r="BI4" s="983" t="s">
        <v>225</v>
      </c>
      <c r="BJ4" s="984" t="s">
        <v>225</v>
      </c>
      <c r="BK4" s="985"/>
      <c r="BL4" s="983" t="s">
        <v>225</v>
      </c>
      <c r="BM4" s="984" t="s">
        <v>225</v>
      </c>
      <c r="BN4" s="985"/>
      <c r="BO4" s="983" t="s">
        <v>226</v>
      </c>
      <c r="BP4" s="984" t="s">
        <v>226</v>
      </c>
      <c r="BQ4" s="985"/>
      <c r="BR4" s="983" t="s">
        <v>226</v>
      </c>
      <c r="BS4" s="984" t="s">
        <v>226</v>
      </c>
      <c r="BT4" s="985"/>
      <c r="BU4" s="983" t="s">
        <v>225</v>
      </c>
      <c r="BV4" s="984" t="s">
        <v>225</v>
      </c>
      <c r="BW4" s="985"/>
      <c r="BX4" s="983" t="s">
        <v>225</v>
      </c>
      <c r="BY4" s="984" t="s">
        <v>225</v>
      </c>
      <c r="BZ4" s="985"/>
      <c r="CA4" s="983" t="s">
        <v>225</v>
      </c>
      <c r="CB4" s="984" t="s">
        <v>225</v>
      </c>
      <c r="CC4" s="985"/>
      <c r="CD4" s="983" t="s">
        <v>225</v>
      </c>
      <c r="CE4" s="984" t="s">
        <v>225</v>
      </c>
      <c r="CF4" s="985"/>
      <c r="CG4" s="983" t="s">
        <v>225</v>
      </c>
      <c r="CH4" s="984" t="s">
        <v>225</v>
      </c>
      <c r="CI4" s="985"/>
      <c r="CJ4" s="983" t="s">
        <v>225</v>
      </c>
      <c r="CK4" s="984" t="s">
        <v>225</v>
      </c>
      <c r="CL4" s="985"/>
      <c r="CM4" s="983" t="s">
        <v>225</v>
      </c>
      <c r="CN4" s="984" t="s">
        <v>225</v>
      </c>
      <c r="CO4" s="985"/>
      <c r="CP4" s="983" t="s">
        <v>225</v>
      </c>
      <c r="CQ4" s="984" t="s">
        <v>225</v>
      </c>
      <c r="CR4" s="985"/>
      <c r="CS4" s="983" t="s">
        <v>225</v>
      </c>
      <c r="CT4" s="984" t="s">
        <v>225</v>
      </c>
      <c r="CU4" s="985"/>
      <c r="CV4" s="983" t="s">
        <v>226</v>
      </c>
      <c r="CW4" s="984" t="s">
        <v>226</v>
      </c>
      <c r="CX4" s="985"/>
      <c r="CY4" s="983" t="s">
        <v>226</v>
      </c>
      <c r="CZ4" s="984" t="s">
        <v>226</v>
      </c>
      <c r="DA4" s="985"/>
      <c r="DB4" s="983" t="s">
        <v>225</v>
      </c>
      <c r="DC4" s="984" t="s">
        <v>225</v>
      </c>
      <c r="DD4" s="985"/>
      <c r="DE4" s="983" t="s">
        <v>225</v>
      </c>
      <c r="DF4" s="984" t="s">
        <v>225</v>
      </c>
      <c r="DG4" s="985"/>
      <c r="DH4" s="983" t="s">
        <v>225</v>
      </c>
      <c r="DI4" s="984" t="s">
        <v>225</v>
      </c>
      <c r="DJ4" s="985"/>
      <c r="DK4" s="983" t="s">
        <v>225</v>
      </c>
      <c r="DL4" s="984" t="s">
        <v>225</v>
      </c>
      <c r="DM4" s="985"/>
      <c r="DN4" s="983" t="s">
        <v>226</v>
      </c>
      <c r="DO4" s="984" t="s">
        <v>226</v>
      </c>
      <c r="DP4" s="985"/>
      <c r="DQ4" s="983" t="s">
        <v>225</v>
      </c>
      <c r="DR4" s="984" t="s">
        <v>225</v>
      </c>
      <c r="DS4" s="985"/>
      <c r="DT4" s="983" t="s">
        <v>226</v>
      </c>
      <c r="DU4" s="984" t="s">
        <v>226</v>
      </c>
      <c r="DV4" s="985"/>
      <c r="DW4" s="983" t="s">
        <v>226</v>
      </c>
      <c r="DX4" s="984" t="s">
        <v>226</v>
      </c>
      <c r="DY4" s="985"/>
      <c r="DZ4" s="983" t="s">
        <v>225</v>
      </c>
      <c r="EA4" s="984" t="s">
        <v>225</v>
      </c>
      <c r="EB4" s="985"/>
      <c r="EC4" s="983" t="s">
        <v>225</v>
      </c>
      <c r="ED4" s="984" t="s">
        <v>225</v>
      </c>
      <c r="EE4" s="985"/>
      <c r="EF4" s="983" t="s">
        <v>225</v>
      </c>
      <c r="EG4" s="984" t="s">
        <v>225</v>
      </c>
      <c r="EH4" s="985"/>
      <c r="EI4" s="983" t="s">
        <v>225</v>
      </c>
      <c r="EJ4" s="984" t="s">
        <v>225</v>
      </c>
      <c r="EK4" s="985"/>
      <c r="EL4" s="983" t="s">
        <v>225</v>
      </c>
      <c r="EM4" s="984" t="s">
        <v>225</v>
      </c>
      <c r="EN4" s="985"/>
      <c r="EO4" s="983" t="s">
        <v>225</v>
      </c>
      <c r="EP4" s="984" t="s">
        <v>225</v>
      </c>
      <c r="EQ4" s="985"/>
      <c r="ER4" s="983" t="s">
        <v>225</v>
      </c>
      <c r="ES4" s="984" t="s">
        <v>225</v>
      </c>
      <c r="ET4" s="985"/>
      <c r="EU4" s="983" t="s">
        <v>225</v>
      </c>
      <c r="EV4" s="984" t="s">
        <v>225</v>
      </c>
      <c r="EW4" s="985"/>
      <c r="EX4" s="983" t="s">
        <v>226</v>
      </c>
      <c r="EY4" s="984" t="s">
        <v>226</v>
      </c>
      <c r="EZ4" s="985"/>
      <c r="FA4" s="983" t="s">
        <v>226</v>
      </c>
      <c r="FB4" s="984" t="s">
        <v>226</v>
      </c>
      <c r="FC4" s="985"/>
      <c r="FD4" s="983" t="s">
        <v>226</v>
      </c>
      <c r="FE4" s="984" t="s">
        <v>226</v>
      </c>
      <c r="FF4" s="985"/>
      <c r="FG4" s="983" t="s">
        <v>226</v>
      </c>
      <c r="FH4" s="984" t="s">
        <v>226</v>
      </c>
      <c r="FI4" s="985"/>
      <c r="FJ4" s="983" t="s">
        <v>226</v>
      </c>
      <c r="FK4" s="984" t="s">
        <v>226</v>
      </c>
      <c r="FL4" s="985"/>
      <c r="FM4" s="983" t="s">
        <v>225</v>
      </c>
      <c r="FN4" s="984" t="s">
        <v>225</v>
      </c>
      <c r="FO4" s="985"/>
      <c r="FP4" s="983" t="s">
        <v>226</v>
      </c>
      <c r="FQ4" s="984" t="s">
        <v>226</v>
      </c>
      <c r="FR4" s="985"/>
      <c r="FS4" s="983" t="s">
        <v>225</v>
      </c>
      <c r="FT4" s="984" t="s">
        <v>225</v>
      </c>
      <c r="FU4" s="985"/>
      <c r="FV4" s="983" t="s">
        <v>226</v>
      </c>
      <c r="FW4" s="984" t="s">
        <v>226</v>
      </c>
      <c r="FX4" s="985"/>
      <c r="FY4" s="983" t="s">
        <v>226</v>
      </c>
      <c r="FZ4" s="984" t="s">
        <v>226</v>
      </c>
      <c r="GA4" s="985"/>
      <c r="GB4" s="983" t="s">
        <v>225</v>
      </c>
      <c r="GC4" s="984" t="s">
        <v>225</v>
      </c>
      <c r="GD4" s="985"/>
      <c r="GE4" s="983" t="s">
        <v>225</v>
      </c>
      <c r="GF4" s="984" t="s">
        <v>225</v>
      </c>
      <c r="GG4" s="985"/>
      <c r="GH4" s="983" t="s">
        <v>225</v>
      </c>
      <c r="GI4" s="984" t="s">
        <v>225</v>
      </c>
      <c r="GJ4" s="985"/>
      <c r="GK4" s="983" t="s">
        <v>225</v>
      </c>
      <c r="GL4" s="984" t="s">
        <v>225</v>
      </c>
      <c r="GM4" s="985"/>
      <c r="GN4" s="983" t="s">
        <v>225</v>
      </c>
      <c r="GO4" s="984" t="s">
        <v>225</v>
      </c>
      <c r="GP4" s="985"/>
      <c r="GQ4" s="983" t="s">
        <v>225</v>
      </c>
      <c r="GR4" s="984" t="s">
        <v>225</v>
      </c>
      <c r="GS4" s="985"/>
      <c r="GT4" s="983" t="s">
        <v>225</v>
      </c>
      <c r="GU4" s="984" t="s">
        <v>225</v>
      </c>
      <c r="GV4" s="985"/>
      <c r="GW4" s="983" t="s">
        <v>226</v>
      </c>
      <c r="GX4" s="984" t="s">
        <v>226</v>
      </c>
      <c r="GY4" s="985"/>
      <c r="GZ4" s="983" t="s">
        <v>226</v>
      </c>
      <c r="HA4" s="984" t="s">
        <v>226</v>
      </c>
      <c r="HB4" s="985"/>
      <c r="HC4" s="983" t="s">
        <v>226</v>
      </c>
      <c r="HD4" s="984" t="s">
        <v>226</v>
      </c>
      <c r="HE4" s="985"/>
      <c r="HF4" s="983" t="s">
        <v>226</v>
      </c>
      <c r="HG4" s="984" t="s">
        <v>226</v>
      </c>
      <c r="HH4" s="985"/>
      <c r="HI4" s="983" t="s">
        <v>225</v>
      </c>
      <c r="HJ4" s="984" t="s">
        <v>225</v>
      </c>
      <c r="HK4" s="985"/>
      <c r="HL4" s="983" t="s">
        <v>225</v>
      </c>
      <c r="HM4" s="984" t="s">
        <v>225</v>
      </c>
      <c r="HN4" s="985"/>
      <c r="HO4" s="983" t="s">
        <v>225</v>
      </c>
      <c r="HP4" s="984" t="s">
        <v>225</v>
      </c>
      <c r="HQ4" s="985"/>
      <c r="HR4" s="983" t="s">
        <v>226</v>
      </c>
      <c r="HS4" s="984" t="s">
        <v>226</v>
      </c>
      <c r="HT4" s="985"/>
      <c r="HU4" s="983" t="s">
        <v>226</v>
      </c>
      <c r="HV4" s="984" t="s">
        <v>226</v>
      </c>
      <c r="HW4" s="985"/>
      <c r="HX4" s="983" t="s">
        <v>226</v>
      </c>
      <c r="HY4" s="984" t="s">
        <v>226</v>
      </c>
      <c r="HZ4" s="985"/>
      <c r="IA4" s="983" t="s">
        <v>226</v>
      </c>
      <c r="IB4" s="984" t="s">
        <v>226</v>
      </c>
      <c r="IC4" s="985"/>
      <c r="ID4" s="983" t="s">
        <v>226</v>
      </c>
      <c r="IE4" s="984" t="s">
        <v>226</v>
      </c>
      <c r="IF4" s="985"/>
      <c r="IG4" s="60" t="s">
        <v>225</v>
      </c>
      <c r="IH4" s="60" t="s">
        <v>225</v>
      </c>
      <c r="II4" s="983" t="s">
        <v>225</v>
      </c>
      <c r="IJ4" s="984" t="s">
        <v>225</v>
      </c>
      <c r="IK4" s="985"/>
      <c r="IL4" s="983" t="s">
        <v>225</v>
      </c>
      <c r="IM4" s="984" t="s">
        <v>225</v>
      </c>
      <c r="IN4" s="985"/>
      <c r="IO4" s="983" t="s">
        <v>226</v>
      </c>
      <c r="IP4" s="984" t="s">
        <v>226</v>
      </c>
      <c r="IQ4" s="985"/>
      <c r="IR4" s="983" t="s">
        <v>226</v>
      </c>
      <c r="IS4" s="984" t="s">
        <v>226</v>
      </c>
      <c r="IT4" s="985"/>
      <c r="IU4" s="983" t="s">
        <v>225</v>
      </c>
      <c r="IV4" s="984" t="s">
        <v>225</v>
      </c>
      <c r="IW4" s="985"/>
      <c r="IX4" s="983" t="s">
        <v>225</v>
      </c>
      <c r="IY4" s="984" t="s">
        <v>225</v>
      </c>
      <c r="IZ4" s="985"/>
      <c r="JA4" s="983" t="s">
        <v>226</v>
      </c>
      <c r="JB4" s="984" t="s">
        <v>226</v>
      </c>
      <c r="JC4" s="985"/>
      <c r="JD4" s="983" t="s">
        <v>225</v>
      </c>
      <c r="JE4" s="984"/>
      <c r="JF4" s="984"/>
      <c r="JG4" s="983" t="s">
        <v>225</v>
      </c>
      <c r="JH4" s="984" t="s">
        <v>225</v>
      </c>
      <c r="JI4" s="984"/>
      <c r="JJ4" s="983" t="s">
        <v>225</v>
      </c>
      <c r="JK4" s="984" t="s">
        <v>225</v>
      </c>
      <c r="JL4" s="984"/>
      <c r="JM4" s="983" t="s">
        <v>225</v>
      </c>
      <c r="JN4" s="984" t="s">
        <v>225</v>
      </c>
      <c r="JO4" s="984"/>
      <c r="JP4" s="983" t="s">
        <v>226</v>
      </c>
      <c r="JQ4" s="984" t="s">
        <v>226</v>
      </c>
      <c r="JR4" s="984"/>
      <c r="JS4" s="983" t="s">
        <v>225</v>
      </c>
      <c r="JT4" s="984" t="s">
        <v>225</v>
      </c>
      <c r="JU4" s="984"/>
      <c r="JV4" s="983" t="s">
        <v>225</v>
      </c>
      <c r="JW4" s="984" t="s">
        <v>225</v>
      </c>
      <c r="JX4" s="984"/>
      <c r="JY4" s="983" t="s">
        <v>225</v>
      </c>
      <c r="JZ4" s="984" t="s">
        <v>225</v>
      </c>
      <c r="KA4" s="984"/>
      <c r="KB4" s="983" t="s">
        <v>225</v>
      </c>
      <c r="KC4" s="984" t="s">
        <v>225</v>
      </c>
      <c r="KD4" s="984"/>
      <c r="KE4" s="983" t="s">
        <v>226</v>
      </c>
      <c r="KF4" s="984" t="s">
        <v>226</v>
      </c>
      <c r="KG4" s="984"/>
      <c r="KH4" s="983" t="s">
        <v>226</v>
      </c>
      <c r="KI4" s="984" t="s">
        <v>226</v>
      </c>
      <c r="KJ4" s="984"/>
      <c r="KK4" s="983" t="s">
        <v>226</v>
      </c>
      <c r="KL4" s="984" t="s">
        <v>226</v>
      </c>
      <c r="KM4" s="984"/>
      <c r="KN4" s="983" t="s">
        <v>226</v>
      </c>
      <c r="KO4" s="984" t="s">
        <v>226</v>
      </c>
      <c r="KP4" s="984"/>
      <c r="KQ4" s="983" t="s">
        <v>226</v>
      </c>
      <c r="KR4" s="984" t="s">
        <v>226</v>
      </c>
      <c r="KS4" s="984"/>
      <c r="KT4" s="983" t="s">
        <v>225</v>
      </c>
      <c r="KU4" s="984" t="s">
        <v>225</v>
      </c>
      <c r="KV4" s="984"/>
      <c r="KW4" s="983" t="s">
        <v>226</v>
      </c>
      <c r="KX4" s="984" t="s">
        <v>226</v>
      </c>
      <c r="KY4" s="984"/>
      <c r="KZ4" s="983" t="s">
        <v>225</v>
      </c>
      <c r="LA4" s="984" t="s">
        <v>225</v>
      </c>
      <c r="LB4" s="984"/>
      <c r="LC4" s="983" t="s">
        <v>225</v>
      </c>
      <c r="LD4" s="984" t="s">
        <v>225</v>
      </c>
      <c r="LE4" s="984"/>
      <c r="LF4" s="983" t="s">
        <v>225</v>
      </c>
      <c r="LG4" s="984" t="s">
        <v>225</v>
      </c>
      <c r="LH4" s="984"/>
      <c r="LI4" s="983" t="s">
        <v>225</v>
      </c>
      <c r="LJ4" s="984" t="s">
        <v>225</v>
      </c>
      <c r="LK4" s="984"/>
      <c r="LL4" s="983" t="s">
        <v>225</v>
      </c>
      <c r="LM4" s="984" t="s">
        <v>225</v>
      </c>
      <c r="LN4" s="984"/>
      <c r="LO4" s="983" t="s">
        <v>225</v>
      </c>
      <c r="LP4" s="984" t="s">
        <v>225</v>
      </c>
      <c r="LQ4" s="984"/>
      <c r="LR4" s="983" t="s">
        <v>225</v>
      </c>
      <c r="LS4" s="984" t="s">
        <v>225</v>
      </c>
      <c r="LT4" s="984"/>
      <c r="LU4" s="983" t="s">
        <v>225</v>
      </c>
      <c r="LV4" s="984" t="s">
        <v>225</v>
      </c>
      <c r="LW4" s="984"/>
      <c r="LX4" s="983" t="s">
        <v>226</v>
      </c>
      <c r="LY4" s="984" t="s">
        <v>226</v>
      </c>
      <c r="LZ4" s="984"/>
      <c r="MA4" s="983" t="s">
        <v>226</v>
      </c>
      <c r="MB4" s="984" t="s">
        <v>226</v>
      </c>
      <c r="MC4" s="984"/>
      <c r="MD4" s="983" t="s">
        <v>225</v>
      </c>
      <c r="ME4" s="984" t="s">
        <v>225</v>
      </c>
      <c r="MF4" s="984"/>
      <c r="MG4" s="983" t="s">
        <v>225</v>
      </c>
      <c r="MH4" s="984" t="s">
        <v>225</v>
      </c>
      <c r="MI4" s="984"/>
      <c r="MJ4" s="983" t="s">
        <v>226</v>
      </c>
      <c r="MK4" s="984" t="s">
        <v>226</v>
      </c>
      <c r="ML4" s="984"/>
      <c r="MM4" s="983" t="s">
        <v>226</v>
      </c>
      <c r="MN4" s="984" t="s">
        <v>226</v>
      </c>
      <c r="MO4" s="984"/>
      <c r="MP4" s="983" t="s">
        <v>225</v>
      </c>
      <c r="MQ4" s="984" t="s">
        <v>225</v>
      </c>
      <c r="MR4" s="984"/>
      <c r="MS4" s="983" t="s">
        <v>225</v>
      </c>
      <c r="MT4" s="984" t="s">
        <v>225</v>
      </c>
      <c r="MU4" s="984"/>
      <c r="MV4" s="983" t="s">
        <v>225</v>
      </c>
      <c r="MW4" s="984" t="s">
        <v>225</v>
      </c>
      <c r="MX4" s="985"/>
      <c r="MY4" s="661"/>
      <c r="MZ4" s="661"/>
      <c r="NA4" s="661"/>
      <c r="NB4" s="661"/>
      <c r="NC4" s="661"/>
    </row>
    <row r="5" spans="1:369" ht="30" customHeight="1" x14ac:dyDescent="0.25">
      <c r="A5" s="993"/>
      <c r="B5" s="992" t="s">
        <v>646</v>
      </c>
      <c r="C5" s="992"/>
      <c r="D5" s="977" t="s">
        <v>1629</v>
      </c>
      <c r="E5" s="978"/>
      <c r="F5" s="979"/>
      <c r="G5" s="977" t="s">
        <v>1630</v>
      </c>
      <c r="H5" s="978" t="s">
        <v>1075</v>
      </c>
      <c r="I5" s="979"/>
      <c r="J5" s="977" t="s">
        <v>1631</v>
      </c>
      <c r="K5" s="978" t="s">
        <v>1076</v>
      </c>
      <c r="L5" s="979"/>
      <c r="M5" s="977" t="s">
        <v>1632</v>
      </c>
      <c r="N5" s="978" t="s">
        <v>585</v>
      </c>
      <c r="O5" s="979"/>
      <c r="P5" s="977" t="s">
        <v>1633</v>
      </c>
      <c r="Q5" s="978" t="s">
        <v>1077</v>
      </c>
      <c r="R5" s="979"/>
      <c r="S5" s="977" t="s">
        <v>1634</v>
      </c>
      <c r="T5" s="978" t="s">
        <v>1078</v>
      </c>
      <c r="U5" s="979"/>
      <c r="V5" s="977" t="s">
        <v>1635</v>
      </c>
      <c r="W5" s="978" t="s">
        <v>1079</v>
      </c>
      <c r="X5" s="979"/>
      <c r="Y5" s="977" t="s">
        <v>1636</v>
      </c>
      <c r="Z5" s="978" t="s">
        <v>791</v>
      </c>
      <c r="AA5" s="979"/>
      <c r="AB5" s="977" t="s">
        <v>1637</v>
      </c>
      <c r="AC5" s="978" t="s">
        <v>613</v>
      </c>
      <c r="AD5" s="979"/>
      <c r="AE5" s="977" t="s">
        <v>614</v>
      </c>
      <c r="AF5" s="978" t="s">
        <v>614</v>
      </c>
      <c r="AG5" s="979"/>
      <c r="AH5" s="977" t="s">
        <v>640</v>
      </c>
      <c r="AI5" s="978" t="s">
        <v>1080</v>
      </c>
      <c r="AJ5" s="979"/>
      <c r="AK5" s="977" t="s">
        <v>1638</v>
      </c>
      <c r="AL5" s="978" t="s">
        <v>1081</v>
      </c>
      <c r="AM5" s="979"/>
      <c r="AN5" s="977" t="s">
        <v>1639</v>
      </c>
      <c r="AO5" s="978" t="s">
        <v>1082</v>
      </c>
      <c r="AP5" s="979"/>
      <c r="AQ5" s="977" t="s">
        <v>1640</v>
      </c>
      <c r="AR5" s="978" t="s">
        <v>1083</v>
      </c>
      <c r="AS5" s="979"/>
      <c r="AT5" s="977" t="s">
        <v>1641</v>
      </c>
      <c r="AU5" s="978" t="s">
        <v>1084</v>
      </c>
      <c r="AV5" s="979"/>
      <c r="AW5" s="977" t="s">
        <v>1642</v>
      </c>
      <c r="AX5" s="978" t="s">
        <v>1085</v>
      </c>
      <c r="AY5" s="979"/>
      <c r="AZ5" s="977" t="s">
        <v>1643</v>
      </c>
      <c r="BA5" s="978" t="s">
        <v>418</v>
      </c>
      <c r="BB5" s="979"/>
      <c r="BC5" s="977" t="s">
        <v>1644</v>
      </c>
      <c r="BD5" s="978" t="s">
        <v>1086</v>
      </c>
      <c r="BE5" s="979"/>
      <c r="BF5" s="977" t="s">
        <v>1645</v>
      </c>
      <c r="BG5" s="978" t="s">
        <v>1087</v>
      </c>
      <c r="BH5" s="979"/>
      <c r="BI5" s="977" t="s">
        <v>1646</v>
      </c>
      <c r="BJ5" s="978" t="s">
        <v>615</v>
      </c>
      <c r="BK5" s="979"/>
      <c r="BL5" s="977" t="s">
        <v>1647</v>
      </c>
      <c r="BM5" s="978" t="s">
        <v>616</v>
      </c>
      <c r="BN5" s="979"/>
      <c r="BO5" s="977" t="s">
        <v>1648</v>
      </c>
      <c r="BP5" s="978" t="s">
        <v>1088</v>
      </c>
      <c r="BQ5" s="979"/>
      <c r="BR5" s="977" t="s">
        <v>1649</v>
      </c>
      <c r="BS5" s="978" t="s">
        <v>617</v>
      </c>
      <c r="BT5" s="979"/>
      <c r="BU5" s="977" t="s">
        <v>1650</v>
      </c>
      <c r="BV5" s="978" t="s">
        <v>618</v>
      </c>
      <c r="BW5" s="979"/>
      <c r="BX5" s="977" t="s">
        <v>257</v>
      </c>
      <c r="BY5" s="978" t="s">
        <v>257</v>
      </c>
      <c r="BZ5" s="979"/>
      <c r="CA5" s="977" t="s">
        <v>1651</v>
      </c>
      <c r="CB5" s="978" t="s">
        <v>1089</v>
      </c>
      <c r="CC5" s="979"/>
      <c r="CD5" s="977" t="s">
        <v>1652</v>
      </c>
      <c r="CE5" s="978" t="s">
        <v>1090</v>
      </c>
      <c r="CF5" s="979"/>
      <c r="CG5" s="977" t="s">
        <v>1653</v>
      </c>
      <c r="CH5" s="978" t="s">
        <v>1092</v>
      </c>
      <c r="CI5" s="979"/>
      <c r="CJ5" s="977" t="s">
        <v>1654</v>
      </c>
      <c r="CK5" s="978" t="s">
        <v>1093</v>
      </c>
      <c r="CL5" s="979"/>
      <c r="CM5" s="977" t="s">
        <v>1655</v>
      </c>
      <c r="CN5" s="978" t="s">
        <v>1094</v>
      </c>
      <c r="CO5" s="979"/>
      <c r="CP5" s="977" t="s">
        <v>1656</v>
      </c>
      <c r="CQ5" s="978" t="s">
        <v>1095</v>
      </c>
      <c r="CR5" s="979"/>
      <c r="CS5" s="977" t="s">
        <v>1657</v>
      </c>
      <c r="CT5" s="978" t="s">
        <v>1096</v>
      </c>
      <c r="CU5" s="979"/>
      <c r="CV5" s="977" t="s">
        <v>1658</v>
      </c>
      <c r="CW5" s="978" t="s">
        <v>1097</v>
      </c>
      <c r="CX5" s="979"/>
      <c r="CY5" s="977" t="s">
        <v>1659</v>
      </c>
      <c r="CZ5" s="978" t="s">
        <v>258</v>
      </c>
      <c r="DA5" s="979"/>
      <c r="DB5" s="977" t="s">
        <v>1660</v>
      </c>
      <c r="DC5" s="978" t="s">
        <v>1098</v>
      </c>
      <c r="DD5" s="979"/>
      <c r="DE5" s="977" t="s">
        <v>1661</v>
      </c>
      <c r="DF5" s="978" t="s">
        <v>1099</v>
      </c>
      <c r="DG5" s="979"/>
      <c r="DH5" s="977" t="s">
        <v>1662</v>
      </c>
      <c r="DI5" s="978" t="s">
        <v>1100</v>
      </c>
      <c r="DJ5" s="979"/>
      <c r="DK5" s="977" t="s">
        <v>1663</v>
      </c>
      <c r="DL5" s="978" t="s">
        <v>773</v>
      </c>
      <c r="DM5" s="979"/>
      <c r="DN5" s="977" t="s">
        <v>1664</v>
      </c>
      <c r="DO5" s="978" t="s">
        <v>1101</v>
      </c>
      <c r="DP5" s="979"/>
      <c r="DQ5" s="977" t="s">
        <v>1665</v>
      </c>
      <c r="DR5" s="978" t="s">
        <v>1102</v>
      </c>
      <c r="DS5" s="979"/>
      <c r="DT5" s="977" t="s">
        <v>1666</v>
      </c>
      <c r="DU5" s="978" t="s">
        <v>654</v>
      </c>
      <c r="DV5" s="979"/>
      <c r="DW5" s="977" t="s">
        <v>1667</v>
      </c>
      <c r="DX5" s="978" t="s">
        <v>259</v>
      </c>
      <c r="DY5" s="979"/>
      <c r="DZ5" s="977" t="s">
        <v>260</v>
      </c>
      <c r="EA5" s="978" t="s">
        <v>260</v>
      </c>
      <c r="EB5" s="979"/>
      <c r="EC5" s="977" t="s">
        <v>1668</v>
      </c>
      <c r="ED5" s="978" t="s">
        <v>612</v>
      </c>
      <c r="EE5" s="979"/>
      <c r="EF5" s="977" t="s">
        <v>1669</v>
      </c>
      <c r="EG5" s="978" t="s">
        <v>1103</v>
      </c>
      <c r="EH5" s="979"/>
      <c r="EI5" s="977" t="s">
        <v>1670</v>
      </c>
      <c r="EJ5" s="978" t="s">
        <v>535</v>
      </c>
      <c r="EK5" s="979"/>
      <c r="EL5" s="977" t="s">
        <v>1671</v>
      </c>
      <c r="EM5" s="978" t="s">
        <v>1104</v>
      </c>
      <c r="EN5" s="979"/>
      <c r="EO5" s="977" t="s">
        <v>1672</v>
      </c>
      <c r="EP5" s="978" t="s">
        <v>1105</v>
      </c>
      <c r="EQ5" s="979"/>
      <c r="ER5" s="977" t="s">
        <v>1673</v>
      </c>
      <c r="ES5" s="978" t="s">
        <v>457</v>
      </c>
      <c r="ET5" s="979"/>
      <c r="EU5" s="977" t="s">
        <v>1674</v>
      </c>
      <c r="EV5" s="978" t="s">
        <v>1106</v>
      </c>
      <c r="EW5" s="979"/>
      <c r="EX5" s="977" t="s">
        <v>1675</v>
      </c>
      <c r="EY5" s="978" t="s">
        <v>655</v>
      </c>
      <c r="EZ5" s="979"/>
      <c r="FA5" s="977" t="s">
        <v>1676</v>
      </c>
      <c r="FB5" s="978" t="s">
        <v>1107</v>
      </c>
      <c r="FC5" s="979"/>
      <c r="FD5" s="977" t="s">
        <v>1677</v>
      </c>
      <c r="FE5" s="978" t="s">
        <v>398</v>
      </c>
      <c r="FF5" s="979"/>
      <c r="FG5" s="977" t="s">
        <v>1678</v>
      </c>
      <c r="FH5" s="978" t="s">
        <v>619</v>
      </c>
      <c r="FI5" s="979"/>
      <c r="FJ5" s="977" t="s">
        <v>1679</v>
      </c>
      <c r="FK5" s="978" t="s">
        <v>1108</v>
      </c>
      <c r="FL5" s="979"/>
      <c r="FM5" s="977" t="s">
        <v>1680</v>
      </c>
      <c r="FN5" s="978" t="s">
        <v>942</v>
      </c>
      <c r="FO5" s="979"/>
      <c r="FP5" s="977" t="s">
        <v>1681</v>
      </c>
      <c r="FQ5" s="978" t="s">
        <v>1109</v>
      </c>
      <c r="FR5" s="979"/>
      <c r="FS5" s="977" t="s">
        <v>1682</v>
      </c>
      <c r="FT5" s="978" t="s">
        <v>620</v>
      </c>
      <c r="FU5" s="979"/>
      <c r="FV5" s="977" t="s">
        <v>1683</v>
      </c>
      <c r="FW5" s="978" t="s">
        <v>1110</v>
      </c>
      <c r="FX5" s="979"/>
      <c r="FY5" s="977" t="s">
        <v>1684</v>
      </c>
      <c r="FZ5" s="978" t="s">
        <v>940</v>
      </c>
      <c r="GA5" s="979"/>
      <c r="GB5" s="977" t="s">
        <v>1685</v>
      </c>
      <c r="GC5" s="978" t="s">
        <v>491</v>
      </c>
      <c r="GD5" s="979"/>
      <c r="GE5" s="977" t="s">
        <v>1686</v>
      </c>
      <c r="GF5" s="978" t="s">
        <v>621</v>
      </c>
      <c r="GG5" s="979"/>
      <c r="GH5" s="977" t="s">
        <v>1687</v>
      </c>
      <c r="GI5" s="978" t="s">
        <v>1111</v>
      </c>
      <c r="GJ5" s="979"/>
      <c r="GK5" s="977" t="s">
        <v>2119</v>
      </c>
      <c r="GL5" s="978" t="s">
        <v>1111</v>
      </c>
      <c r="GM5" s="979"/>
      <c r="GN5" s="977" t="s">
        <v>1688</v>
      </c>
      <c r="GO5" s="978" t="s">
        <v>622</v>
      </c>
      <c r="GP5" s="979"/>
      <c r="GQ5" s="977" t="s">
        <v>1689</v>
      </c>
      <c r="GR5" s="978" t="s">
        <v>1112</v>
      </c>
      <c r="GS5" s="979"/>
      <c r="GT5" s="977" t="s">
        <v>2120</v>
      </c>
      <c r="GU5" s="978" t="s">
        <v>1112</v>
      </c>
      <c r="GV5" s="979"/>
      <c r="GW5" s="977" t="s">
        <v>1690</v>
      </c>
      <c r="GX5" s="978" t="s">
        <v>915</v>
      </c>
      <c r="GY5" s="979"/>
      <c r="GZ5" s="977" t="s">
        <v>1691</v>
      </c>
      <c r="HA5" s="978" t="s">
        <v>1113</v>
      </c>
      <c r="HB5" s="979"/>
      <c r="HC5" s="977" t="s">
        <v>1692</v>
      </c>
      <c r="HD5" s="978" t="s">
        <v>1114</v>
      </c>
      <c r="HE5" s="979"/>
      <c r="HF5" s="977" t="s">
        <v>1693</v>
      </c>
      <c r="HG5" s="978" t="s">
        <v>1115</v>
      </c>
      <c r="HH5" s="979"/>
      <c r="HI5" s="977" t="s">
        <v>1694</v>
      </c>
      <c r="HJ5" s="978" t="s">
        <v>1116</v>
      </c>
      <c r="HK5" s="979"/>
      <c r="HL5" s="977" t="s">
        <v>1695</v>
      </c>
      <c r="HM5" s="978" t="s">
        <v>1117</v>
      </c>
      <c r="HN5" s="979"/>
      <c r="HO5" s="977" t="s">
        <v>1696</v>
      </c>
      <c r="HP5" s="978" t="s">
        <v>1118</v>
      </c>
      <c r="HQ5" s="979"/>
      <c r="HR5" s="977" t="s">
        <v>1697</v>
      </c>
      <c r="HS5" s="978" t="s">
        <v>623</v>
      </c>
      <c r="HT5" s="979"/>
      <c r="HU5" s="977" t="s">
        <v>1698</v>
      </c>
      <c r="HV5" s="978" t="s">
        <v>1119</v>
      </c>
      <c r="HW5" s="979"/>
      <c r="HX5" s="977" t="s">
        <v>1699</v>
      </c>
      <c r="HY5" s="978" t="s">
        <v>1120</v>
      </c>
      <c r="HZ5" s="979"/>
      <c r="IA5" s="977" t="s">
        <v>1700</v>
      </c>
      <c r="IB5" s="978" t="s">
        <v>660</v>
      </c>
      <c r="IC5" s="979"/>
      <c r="ID5" s="977" t="s">
        <v>1701</v>
      </c>
      <c r="IE5" s="978" t="s">
        <v>1121</v>
      </c>
      <c r="IF5" s="979"/>
      <c r="IG5" s="994" t="s">
        <v>414</v>
      </c>
      <c r="IH5" s="994" t="s">
        <v>414</v>
      </c>
      <c r="II5" s="977" t="s">
        <v>1702</v>
      </c>
      <c r="IJ5" s="978" t="s">
        <v>1122</v>
      </c>
      <c r="IK5" s="979"/>
      <c r="IL5" s="977" t="s">
        <v>1703</v>
      </c>
      <c r="IM5" s="978" t="s">
        <v>894</v>
      </c>
      <c r="IN5" s="979"/>
      <c r="IO5" s="977" t="s">
        <v>1704</v>
      </c>
      <c r="IP5" s="978" t="s">
        <v>1123</v>
      </c>
      <c r="IQ5" s="979"/>
      <c r="IR5" s="977" t="s">
        <v>1705</v>
      </c>
      <c r="IS5" s="978" t="s">
        <v>1124</v>
      </c>
      <c r="IT5" s="979"/>
      <c r="IU5" s="977" t="s">
        <v>1706</v>
      </c>
      <c r="IV5" s="978" t="s">
        <v>1125</v>
      </c>
      <c r="IW5" s="979"/>
      <c r="IX5" s="977" t="s">
        <v>1707</v>
      </c>
      <c r="IY5" s="978" t="s">
        <v>1126</v>
      </c>
      <c r="IZ5" s="979"/>
      <c r="JA5" s="977" t="s">
        <v>1708</v>
      </c>
      <c r="JB5" s="978" t="s">
        <v>1127</v>
      </c>
      <c r="JC5" s="979"/>
      <c r="JD5" s="977" t="s">
        <v>1709</v>
      </c>
      <c r="JE5" s="978" t="s">
        <v>1128</v>
      </c>
      <c r="JF5" s="979"/>
      <c r="JG5" s="977" t="s">
        <v>1710</v>
      </c>
      <c r="JH5" s="978" t="s">
        <v>624</v>
      </c>
      <c r="JI5" s="979"/>
      <c r="JJ5" s="977" t="s">
        <v>1711</v>
      </c>
      <c r="JK5" s="978" t="s">
        <v>1129</v>
      </c>
      <c r="JL5" s="979"/>
      <c r="JM5" s="977" t="s">
        <v>1712</v>
      </c>
      <c r="JN5" s="978" t="s">
        <v>1130</v>
      </c>
      <c r="JO5" s="979"/>
      <c r="JP5" s="977" t="s">
        <v>1713</v>
      </c>
      <c r="JQ5" s="978" t="s">
        <v>765</v>
      </c>
      <c r="JR5" s="979"/>
      <c r="JS5" s="977" t="s">
        <v>1714</v>
      </c>
      <c r="JT5" s="978" t="s">
        <v>625</v>
      </c>
      <c r="JU5" s="979"/>
      <c r="JV5" s="977" t="s">
        <v>1715</v>
      </c>
      <c r="JW5" s="978" t="s">
        <v>1131</v>
      </c>
      <c r="JX5" s="979"/>
      <c r="JY5" s="977" t="s">
        <v>1716</v>
      </c>
      <c r="JZ5" s="978" t="s">
        <v>1132</v>
      </c>
      <c r="KA5" s="979"/>
      <c r="KB5" s="977" t="s">
        <v>2121</v>
      </c>
      <c r="KC5" s="978" t="s">
        <v>895</v>
      </c>
      <c r="KD5" s="979"/>
      <c r="KE5" s="977" t="s">
        <v>1717</v>
      </c>
      <c r="KF5" s="978" t="s">
        <v>1133</v>
      </c>
      <c r="KG5" s="979"/>
      <c r="KH5" s="977" t="s">
        <v>1718</v>
      </c>
      <c r="KI5" s="978" t="s">
        <v>1134</v>
      </c>
      <c r="KJ5" s="979"/>
      <c r="KK5" s="977" t="s">
        <v>1719</v>
      </c>
      <c r="KL5" s="978" t="s">
        <v>1135</v>
      </c>
      <c r="KM5" s="979"/>
      <c r="KN5" s="977" t="s">
        <v>1720</v>
      </c>
      <c r="KO5" s="978" t="s">
        <v>1136</v>
      </c>
      <c r="KP5" s="979"/>
      <c r="KQ5" s="977" t="s">
        <v>1721</v>
      </c>
      <c r="KR5" s="978" t="s">
        <v>981</v>
      </c>
      <c r="KS5" s="979"/>
      <c r="KT5" s="977" t="s">
        <v>2134</v>
      </c>
      <c r="KU5" s="978" t="s">
        <v>1137</v>
      </c>
      <c r="KV5" s="979"/>
      <c r="KW5" s="977" t="s">
        <v>1722</v>
      </c>
      <c r="KX5" s="978" t="s">
        <v>1138</v>
      </c>
      <c r="KY5" s="979"/>
      <c r="KZ5" s="977" t="s">
        <v>1723</v>
      </c>
      <c r="LA5" s="978" t="s">
        <v>991</v>
      </c>
      <c r="LB5" s="979"/>
      <c r="LC5" s="977" t="s">
        <v>1724</v>
      </c>
      <c r="LD5" s="978" t="s">
        <v>1139</v>
      </c>
      <c r="LE5" s="979"/>
      <c r="LF5" s="996" t="s">
        <v>2122</v>
      </c>
      <c r="LG5" s="978" t="s">
        <v>1002</v>
      </c>
      <c r="LH5" s="979"/>
      <c r="LI5" s="977" t="s">
        <v>2133</v>
      </c>
      <c r="LJ5" s="978" t="s">
        <v>1003</v>
      </c>
      <c r="LK5" s="979"/>
      <c r="LL5" s="977" t="s">
        <v>2132</v>
      </c>
      <c r="LM5" s="978" t="s">
        <v>983</v>
      </c>
      <c r="LN5" s="979"/>
      <c r="LO5" s="977" t="s">
        <v>2131</v>
      </c>
      <c r="LP5" s="978" t="s">
        <v>984</v>
      </c>
      <c r="LQ5" s="979"/>
      <c r="LR5" s="977" t="s">
        <v>2130</v>
      </c>
      <c r="LS5" s="978" t="s">
        <v>952</v>
      </c>
      <c r="LT5" s="979"/>
      <c r="LU5" s="977" t="s">
        <v>2129</v>
      </c>
      <c r="LV5" s="978" t="s">
        <v>954</v>
      </c>
      <c r="LW5" s="979"/>
      <c r="LX5" s="977" t="s">
        <v>2128</v>
      </c>
      <c r="LY5" s="978" t="s">
        <v>970</v>
      </c>
      <c r="LZ5" s="979"/>
      <c r="MA5" s="977" t="s">
        <v>2127</v>
      </c>
      <c r="MB5" s="978" t="s">
        <v>971</v>
      </c>
      <c r="MC5" s="979"/>
      <c r="MD5" s="977" t="s">
        <v>1725</v>
      </c>
      <c r="ME5" s="978" t="s">
        <v>1038</v>
      </c>
      <c r="MF5" s="979"/>
      <c r="MG5" s="977" t="s">
        <v>2126</v>
      </c>
      <c r="MH5" s="978" t="s">
        <v>1039</v>
      </c>
      <c r="MI5" s="979"/>
      <c r="MJ5" s="977" t="s">
        <v>2125</v>
      </c>
      <c r="MK5" s="978" t="s">
        <v>1225</v>
      </c>
      <c r="ML5" s="979"/>
      <c r="MM5" s="977" t="s">
        <v>2124</v>
      </c>
      <c r="MN5" s="978" t="s">
        <v>1226</v>
      </c>
      <c r="MO5" s="979"/>
      <c r="MP5" s="977" t="s">
        <v>2123</v>
      </c>
      <c r="MQ5" s="978" t="s">
        <v>1251</v>
      </c>
      <c r="MR5" s="979"/>
      <c r="MS5" s="977" t="s">
        <v>1726</v>
      </c>
      <c r="MT5" s="978" t="s">
        <v>1234</v>
      </c>
      <c r="MU5" s="979"/>
      <c r="MV5" s="977" t="s">
        <v>1727</v>
      </c>
      <c r="MW5" s="978" t="s">
        <v>1235</v>
      </c>
      <c r="MX5" s="979"/>
      <c r="MY5" s="661"/>
      <c r="MZ5" s="661"/>
      <c r="NA5" s="661"/>
      <c r="NB5" s="661"/>
      <c r="NC5" s="661"/>
    </row>
    <row r="6" spans="1:369" ht="110.25" customHeight="1" x14ac:dyDescent="0.25">
      <c r="A6" s="993"/>
      <c r="B6" s="682" t="s">
        <v>190</v>
      </c>
      <c r="C6" s="205" t="s">
        <v>248</v>
      </c>
      <c r="D6" s="980"/>
      <c r="E6" s="981"/>
      <c r="F6" s="982"/>
      <c r="G6" s="980"/>
      <c r="H6" s="981"/>
      <c r="I6" s="982"/>
      <c r="J6" s="980"/>
      <c r="K6" s="981"/>
      <c r="L6" s="982"/>
      <c r="M6" s="980"/>
      <c r="N6" s="981"/>
      <c r="O6" s="982"/>
      <c r="P6" s="980"/>
      <c r="Q6" s="981"/>
      <c r="R6" s="982"/>
      <c r="S6" s="980"/>
      <c r="T6" s="981"/>
      <c r="U6" s="982"/>
      <c r="V6" s="980"/>
      <c r="W6" s="981"/>
      <c r="X6" s="982"/>
      <c r="Y6" s="980"/>
      <c r="Z6" s="981"/>
      <c r="AA6" s="982"/>
      <c r="AB6" s="980"/>
      <c r="AC6" s="981"/>
      <c r="AD6" s="982"/>
      <c r="AE6" s="980"/>
      <c r="AF6" s="981"/>
      <c r="AG6" s="982"/>
      <c r="AH6" s="980"/>
      <c r="AI6" s="981"/>
      <c r="AJ6" s="982"/>
      <c r="AK6" s="980"/>
      <c r="AL6" s="981"/>
      <c r="AM6" s="982"/>
      <c r="AN6" s="980"/>
      <c r="AO6" s="981"/>
      <c r="AP6" s="982"/>
      <c r="AQ6" s="980"/>
      <c r="AR6" s="981"/>
      <c r="AS6" s="982"/>
      <c r="AT6" s="980"/>
      <c r="AU6" s="981"/>
      <c r="AV6" s="982"/>
      <c r="AW6" s="980"/>
      <c r="AX6" s="981"/>
      <c r="AY6" s="982"/>
      <c r="AZ6" s="980"/>
      <c r="BA6" s="981"/>
      <c r="BB6" s="982"/>
      <c r="BC6" s="980"/>
      <c r="BD6" s="981"/>
      <c r="BE6" s="982"/>
      <c r="BF6" s="980"/>
      <c r="BG6" s="981"/>
      <c r="BH6" s="982"/>
      <c r="BI6" s="980"/>
      <c r="BJ6" s="981"/>
      <c r="BK6" s="982"/>
      <c r="BL6" s="980"/>
      <c r="BM6" s="981"/>
      <c r="BN6" s="982"/>
      <c r="BO6" s="980"/>
      <c r="BP6" s="981"/>
      <c r="BQ6" s="982"/>
      <c r="BR6" s="980"/>
      <c r="BS6" s="981"/>
      <c r="BT6" s="982"/>
      <c r="BU6" s="980"/>
      <c r="BV6" s="981"/>
      <c r="BW6" s="982"/>
      <c r="BX6" s="980"/>
      <c r="BY6" s="981"/>
      <c r="BZ6" s="982"/>
      <c r="CA6" s="980"/>
      <c r="CB6" s="981"/>
      <c r="CC6" s="982"/>
      <c r="CD6" s="980"/>
      <c r="CE6" s="981"/>
      <c r="CF6" s="982"/>
      <c r="CG6" s="980"/>
      <c r="CH6" s="981"/>
      <c r="CI6" s="982"/>
      <c r="CJ6" s="980"/>
      <c r="CK6" s="981"/>
      <c r="CL6" s="982"/>
      <c r="CM6" s="980"/>
      <c r="CN6" s="981"/>
      <c r="CO6" s="982"/>
      <c r="CP6" s="980"/>
      <c r="CQ6" s="981"/>
      <c r="CR6" s="982"/>
      <c r="CS6" s="980"/>
      <c r="CT6" s="981"/>
      <c r="CU6" s="982"/>
      <c r="CV6" s="980"/>
      <c r="CW6" s="981"/>
      <c r="CX6" s="982"/>
      <c r="CY6" s="980"/>
      <c r="CZ6" s="981"/>
      <c r="DA6" s="982"/>
      <c r="DB6" s="980"/>
      <c r="DC6" s="981"/>
      <c r="DD6" s="982"/>
      <c r="DE6" s="980"/>
      <c r="DF6" s="981"/>
      <c r="DG6" s="982"/>
      <c r="DH6" s="980"/>
      <c r="DI6" s="981"/>
      <c r="DJ6" s="982"/>
      <c r="DK6" s="980"/>
      <c r="DL6" s="981"/>
      <c r="DM6" s="982"/>
      <c r="DN6" s="980"/>
      <c r="DO6" s="981"/>
      <c r="DP6" s="982"/>
      <c r="DQ6" s="980"/>
      <c r="DR6" s="981"/>
      <c r="DS6" s="982"/>
      <c r="DT6" s="980"/>
      <c r="DU6" s="981"/>
      <c r="DV6" s="982"/>
      <c r="DW6" s="980"/>
      <c r="DX6" s="981"/>
      <c r="DY6" s="982"/>
      <c r="DZ6" s="980"/>
      <c r="EA6" s="981"/>
      <c r="EB6" s="982"/>
      <c r="EC6" s="980"/>
      <c r="ED6" s="981"/>
      <c r="EE6" s="982"/>
      <c r="EF6" s="980"/>
      <c r="EG6" s="981"/>
      <c r="EH6" s="982"/>
      <c r="EI6" s="980"/>
      <c r="EJ6" s="981"/>
      <c r="EK6" s="982"/>
      <c r="EL6" s="980"/>
      <c r="EM6" s="981"/>
      <c r="EN6" s="982"/>
      <c r="EO6" s="980"/>
      <c r="EP6" s="981"/>
      <c r="EQ6" s="982"/>
      <c r="ER6" s="980"/>
      <c r="ES6" s="981"/>
      <c r="ET6" s="982"/>
      <c r="EU6" s="980"/>
      <c r="EV6" s="981"/>
      <c r="EW6" s="982"/>
      <c r="EX6" s="980"/>
      <c r="EY6" s="981"/>
      <c r="EZ6" s="982"/>
      <c r="FA6" s="980"/>
      <c r="FB6" s="981"/>
      <c r="FC6" s="982"/>
      <c r="FD6" s="980"/>
      <c r="FE6" s="981"/>
      <c r="FF6" s="982"/>
      <c r="FG6" s="980"/>
      <c r="FH6" s="981"/>
      <c r="FI6" s="982"/>
      <c r="FJ6" s="980"/>
      <c r="FK6" s="981"/>
      <c r="FL6" s="982"/>
      <c r="FM6" s="980"/>
      <c r="FN6" s="981"/>
      <c r="FO6" s="982"/>
      <c r="FP6" s="980"/>
      <c r="FQ6" s="981"/>
      <c r="FR6" s="982"/>
      <c r="FS6" s="980"/>
      <c r="FT6" s="981"/>
      <c r="FU6" s="982"/>
      <c r="FV6" s="980"/>
      <c r="FW6" s="981"/>
      <c r="FX6" s="982"/>
      <c r="FY6" s="980"/>
      <c r="FZ6" s="981"/>
      <c r="GA6" s="982"/>
      <c r="GB6" s="980"/>
      <c r="GC6" s="981"/>
      <c r="GD6" s="982"/>
      <c r="GE6" s="980"/>
      <c r="GF6" s="981"/>
      <c r="GG6" s="982"/>
      <c r="GH6" s="980"/>
      <c r="GI6" s="981"/>
      <c r="GJ6" s="982"/>
      <c r="GK6" s="980"/>
      <c r="GL6" s="981"/>
      <c r="GM6" s="982"/>
      <c r="GN6" s="980"/>
      <c r="GO6" s="981"/>
      <c r="GP6" s="982"/>
      <c r="GQ6" s="980"/>
      <c r="GR6" s="981"/>
      <c r="GS6" s="982"/>
      <c r="GT6" s="980"/>
      <c r="GU6" s="981"/>
      <c r="GV6" s="982"/>
      <c r="GW6" s="980"/>
      <c r="GX6" s="981"/>
      <c r="GY6" s="982"/>
      <c r="GZ6" s="980"/>
      <c r="HA6" s="981"/>
      <c r="HB6" s="982"/>
      <c r="HC6" s="980"/>
      <c r="HD6" s="981"/>
      <c r="HE6" s="982"/>
      <c r="HF6" s="980"/>
      <c r="HG6" s="981"/>
      <c r="HH6" s="982"/>
      <c r="HI6" s="980"/>
      <c r="HJ6" s="981"/>
      <c r="HK6" s="982"/>
      <c r="HL6" s="980"/>
      <c r="HM6" s="981"/>
      <c r="HN6" s="982"/>
      <c r="HO6" s="980"/>
      <c r="HP6" s="981"/>
      <c r="HQ6" s="982"/>
      <c r="HR6" s="980"/>
      <c r="HS6" s="981"/>
      <c r="HT6" s="982"/>
      <c r="HU6" s="980"/>
      <c r="HV6" s="981"/>
      <c r="HW6" s="982"/>
      <c r="HX6" s="980"/>
      <c r="HY6" s="981"/>
      <c r="HZ6" s="982"/>
      <c r="IA6" s="980"/>
      <c r="IB6" s="981"/>
      <c r="IC6" s="982"/>
      <c r="ID6" s="980"/>
      <c r="IE6" s="981"/>
      <c r="IF6" s="982"/>
      <c r="IG6" s="995"/>
      <c r="IH6" s="995"/>
      <c r="II6" s="980"/>
      <c r="IJ6" s="981"/>
      <c r="IK6" s="982"/>
      <c r="IL6" s="980"/>
      <c r="IM6" s="981"/>
      <c r="IN6" s="982"/>
      <c r="IO6" s="980"/>
      <c r="IP6" s="981"/>
      <c r="IQ6" s="982"/>
      <c r="IR6" s="980"/>
      <c r="IS6" s="981"/>
      <c r="IT6" s="982"/>
      <c r="IU6" s="980"/>
      <c r="IV6" s="981"/>
      <c r="IW6" s="982"/>
      <c r="IX6" s="980"/>
      <c r="IY6" s="981"/>
      <c r="IZ6" s="982"/>
      <c r="JA6" s="980"/>
      <c r="JB6" s="981"/>
      <c r="JC6" s="982"/>
      <c r="JD6" s="980"/>
      <c r="JE6" s="981"/>
      <c r="JF6" s="982"/>
      <c r="JG6" s="980"/>
      <c r="JH6" s="981"/>
      <c r="JI6" s="982"/>
      <c r="JJ6" s="980"/>
      <c r="JK6" s="981"/>
      <c r="JL6" s="982"/>
      <c r="JM6" s="980"/>
      <c r="JN6" s="981"/>
      <c r="JO6" s="982"/>
      <c r="JP6" s="980"/>
      <c r="JQ6" s="981"/>
      <c r="JR6" s="982"/>
      <c r="JS6" s="980"/>
      <c r="JT6" s="981"/>
      <c r="JU6" s="982"/>
      <c r="JV6" s="980"/>
      <c r="JW6" s="981"/>
      <c r="JX6" s="982"/>
      <c r="JY6" s="980"/>
      <c r="JZ6" s="981"/>
      <c r="KA6" s="982"/>
      <c r="KB6" s="980"/>
      <c r="KC6" s="981"/>
      <c r="KD6" s="982"/>
      <c r="KE6" s="980"/>
      <c r="KF6" s="981"/>
      <c r="KG6" s="982"/>
      <c r="KH6" s="980"/>
      <c r="KI6" s="981"/>
      <c r="KJ6" s="982"/>
      <c r="KK6" s="980"/>
      <c r="KL6" s="981"/>
      <c r="KM6" s="982"/>
      <c r="KN6" s="980"/>
      <c r="KO6" s="981"/>
      <c r="KP6" s="982"/>
      <c r="KQ6" s="980"/>
      <c r="KR6" s="981"/>
      <c r="KS6" s="982"/>
      <c r="KT6" s="980"/>
      <c r="KU6" s="981"/>
      <c r="KV6" s="982"/>
      <c r="KW6" s="980"/>
      <c r="KX6" s="981"/>
      <c r="KY6" s="982"/>
      <c r="KZ6" s="980"/>
      <c r="LA6" s="981"/>
      <c r="LB6" s="982"/>
      <c r="LC6" s="980"/>
      <c r="LD6" s="981"/>
      <c r="LE6" s="982"/>
      <c r="LF6" s="980"/>
      <c r="LG6" s="981"/>
      <c r="LH6" s="982"/>
      <c r="LI6" s="980"/>
      <c r="LJ6" s="981"/>
      <c r="LK6" s="982"/>
      <c r="LL6" s="980"/>
      <c r="LM6" s="981"/>
      <c r="LN6" s="982"/>
      <c r="LO6" s="980"/>
      <c r="LP6" s="981"/>
      <c r="LQ6" s="982"/>
      <c r="LR6" s="980"/>
      <c r="LS6" s="981"/>
      <c r="LT6" s="982"/>
      <c r="LU6" s="980"/>
      <c r="LV6" s="981"/>
      <c r="LW6" s="982"/>
      <c r="LX6" s="980"/>
      <c r="LY6" s="981"/>
      <c r="LZ6" s="982"/>
      <c r="MA6" s="980"/>
      <c r="MB6" s="981"/>
      <c r="MC6" s="982"/>
      <c r="MD6" s="980"/>
      <c r="ME6" s="981"/>
      <c r="MF6" s="982"/>
      <c r="MG6" s="980"/>
      <c r="MH6" s="981"/>
      <c r="MI6" s="982"/>
      <c r="MJ6" s="980"/>
      <c r="MK6" s="981"/>
      <c r="ML6" s="982"/>
      <c r="MM6" s="980"/>
      <c r="MN6" s="981"/>
      <c r="MO6" s="982"/>
      <c r="MP6" s="980"/>
      <c r="MQ6" s="981"/>
      <c r="MR6" s="982"/>
      <c r="MS6" s="980"/>
      <c r="MT6" s="981"/>
      <c r="MU6" s="982"/>
      <c r="MV6" s="980"/>
      <c r="MW6" s="981"/>
      <c r="MX6" s="982"/>
      <c r="MY6" s="661"/>
      <c r="MZ6" s="661"/>
      <c r="NA6" s="661"/>
      <c r="NB6" s="661"/>
      <c r="NC6" s="661"/>
    </row>
    <row r="7" spans="1:369" ht="16.5" customHeight="1" x14ac:dyDescent="0.25">
      <c r="A7" s="206" t="s">
        <v>191</v>
      </c>
      <c r="B7" s="207" t="s">
        <v>192</v>
      </c>
      <c r="C7" s="207" t="s">
        <v>193</v>
      </c>
      <c r="D7" s="299" t="s">
        <v>194</v>
      </c>
      <c r="E7" s="299" t="s">
        <v>195</v>
      </c>
      <c r="F7" s="299" t="s">
        <v>196</v>
      </c>
      <c r="G7" s="299" t="s">
        <v>197</v>
      </c>
      <c r="H7" s="299" t="s">
        <v>198</v>
      </c>
      <c r="I7" s="299" t="s">
        <v>199</v>
      </c>
      <c r="J7" s="299" t="s">
        <v>200</v>
      </c>
      <c r="K7" s="299" t="s">
        <v>201</v>
      </c>
      <c r="L7" s="299" t="s">
        <v>228</v>
      </c>
      <c r="M7" s="299" t="s">
        <v>229</v>
      </c>
      <c r="N7" s="299" t="s">
        <v>230</v>
      </c>
      <c r="O7" s="299" t="s">
        <v>231</v>
      </c>
      <c r="P7" s="299" t="s">
        <v>232</v>
      </c>
      <c r="Q7" s="299" t="s">
        <v>233</v>
      </c>
      <c r="R7" s="299" t="s">
        <v>234</v>
      </c>
      <c r="S7" s="299" t="s">
        <v>235</v>
      </c>
      <c r="T7" s="299" t="s">
        <v>236</v>
      </c>
      <c r="U7" s="299" t="s">
        <v>261</v>
      </c>
      <c r="V7" s="299" t="s">
        <v>262</v>
      </c>
      <c r="W7" s="299" t="s">
        <v>263</v>
      </c>
      <c r="X7" s="299" t="s">
        <v>264</v>
      </c>
      <c r="Y7" s="299" t="s">
        <v>265</v>
      </c>
      <c r="Z7" s="299" t="s">
        <v>266</v>
      </c>
      <c r="AA7" s="299" t="s">
        <v>267</v>
      </c>
      <c r="AB7" s="299" t="s">
        <v>268</v>
      </c>
      <c r="AC7" s="299" t="s">
        <v>269</v>
      </c>
      <c r="AD7" s="299" t="s">
        <v>270</v>
      </c>
      <c r="AE7" s="299" t="s">
        <v>271</v>
      </c>
      <c r="AF7" s="299" t="s">
        <v>272</v>
      </c>
      <c r="AG7" s="299" t="s">
        <v>273</v>
      </c>
      <c r="AH7" s="299" t="s">
        <v>277</v>
      </c>
      <c r="AI7" s="299" t="s">
        <v>278</v>
      </c>
      <c r="AJ7" s="299" t="s">
        <v>279</v>
      </c>
      <c r="AK7" s="299" t="s">
        <v>280</v>
      </c>
      <c r="AL7" s="299" t="s">
        <v>281</v>
      </c>
      <c r="AM7" s="299" t="s">
        <v>282</v>
      </c>
      <c r="AN7" s="299" t="s">
        <v>283</v>
      </c>
      <c r="AO7" s="299" t="s">
        <v>284</v>
      </c>
      <c r="AP7" s="299" t="s">
        <v>285</v>
      </c>
      <c r="AQ7" s="299" t="s">
        <v>286</v>
      </c>
      <c r="AR7" s="299" t="s">
        <v>287</v>
      </c>
      <c r="AS7" s="299" t="s">
        <v>288</v>
      </c>
      <c r="AT7" s="299" t="s">
        <v>289</v>
      </c>
      <c r="AU7" s="299" t="s">
        <v>290</v>
      </c>
      <c r="AV7" s="299" t="s">
        <v>291</v>
      </c>
      <c r="AW7" s="299" t="s">
        <v>292</v>
      </c>
      <c r="AX7" s="299" t="s">
        <v>293</v>
      </c>
      <c r="AY7" s="299" t="s">
        <v>294</v>
      </c>
      <c r="AZ7" s="299" t="s">
        <v>295</v>
      </c>
      <c r="BA7" s="299" t="s">
        <v>662</v>
      </c>
      <c r="BB7" s="299" t="s">
        <v>296</v>
      </c>
      <c r="BC7" s="299" t="s">
        <v>663</v>
      </c>
      <c r="BD7" s="299" t="s">
        <v>297</v>
      </c>
      <c r="BE7" s="299" t="s">
        <v>298</v>
      </c>
      <c r="BF7" s="299" t="s">
        <v>299</v>
      </c>
      <c r="BG7" s="299" t="s">
        <v>300</v>
      </c>
      <c r="BH7" s="299" t="s">
        <v>301</v>
      </c>
      <c r="BI7" s="299" t="s">
        <v>302</v>
      </c>
      <c r="BJ7" s="299" t="s">
        <v>303</v>
      </c>
      <c r="BK7" s="299" t="s">
        <v>304</v>
      </c>
      <c r="BL7" s="299" t="s">
        <v>305</v>
      </c>
      <c r="BM7" s="299" t="s">
        <v>306</v>
      </c>
      <c r="BN7" s="299" t="s">
        <v>307</v>
      </c>
      <c r="BO7" s="299" t="s">
        <v>308</v>
      </c>
      <c r="BP7" s="299" t="s">
        <v>309</v>
      </c>
      <c r="BQ7" s="299" t="s">
        <v>310</v>
      </c>
      <c r="BR7" s="299" t="s">
        <v>664</v>
      </c>
      <c r="BS7" s="299" t="s">
        <v>311</v>
      </c>
      <c r="BT7" s="299" t="s">
        <v>312</v>
      </c>
      <c r="BU7" s="299" t="s">
        <v>665</v>
      </c>
      <c r="BV7" s="299" t="s">
        <v>666</v>
      </c>
      <c r="BW7" s="299" t="s">
        <v>152</v>
      </c>
      <c r="BX7" s="299" t="s">
        <v>313</v>
      </c>
      <c r="BY7" s="299" t="s">
        <v>667</v>
      </c>
      <c r="BZ7" s="299" t="s">
        <v>668</v>
      </c>
      <c r="CA7" s="299" t="s">
        <v>314</v>
      </c>
      <c r="CB7" s="299" t="s">
        <v>315</v>
      </c>
      <c r="CC7" s="299" t="s">
        <v>316</v>
      </c>
      <c r="CD7" s="299" t="s">
        <v>317</v>
      </c>
      <c r="CE7" s="299" t="s">
        <v>318</v>
      </c>
      <c r="CF7" s="299" t="s">
        <v>319</v>
      </c>
      <c r="CG7" s="299" t="s">
        <v>320</v>
      </c>
      <c r="CH7" s="299" t="s">
        <v>321</v>
      </c>
      <c r="CI7" s="299" t="s">
        <v>669</v>
      </c>
      <c r="CJ7" s="299" t="s">
        <v>670</v>
      </c>
      <c r="CK7" s="299" t="s">
        <v>671</v>
      </c>
      <c r="CL7" s="299" t="s">
        <v>672</v>
      </c>
      <c r="CM7" s="299" t="s">
        <v>673</v>
      </c>
      <c r="CN7" s="299" t="s">
        <v>674</v>
      </c>
      <c r="CO7" s="299" t="s">
        <v>978</v>
      </c>
      <c r="CP7" s="299" t="s">
        <v>675</v>
      </c>
      <c r="CQ7" s="299" t="s">
        <v>792</v>
      </c>
      <c r="CR7" s="299" t="s">
        <v>322</v>
      </c>
      <c r="CS7" s="299" t="s">
        <v>323</v>
      </c>
      <c r="CT7" s="299" t="s">
        <v>324</v>
      </c>
      <c r="CU7" s="299" t="s">
        <v>325</v>
      </c>
      <c r="CV7" s="299" t="s">
        <v>326</v>
      </c>
      <c r="CW7" s="299" t="s">
        <v>676</v>
      </c>
      <c r="CX7" s="299" t="s">
        <v>697</v>
      </c>
      <c r="CY7" s="299" t="s">
        <v>698</v>
      </c>
      <c r="CZ7" s="299" t="s">
        <v>699</v>
      </c>
      <c r="DA7" s="299" t="s">
        <v>700</v>
      </c>
      <c r="DB7" s="299" t="s">
        <v>701</v>
      </c>
      <c r="DC7" s="299" t="s">
        <v>702</v>
      </c>
      <c r="DD7" s="299" t="s">
        <v>703</v>
      </c>
      <c r="DE7" s="299" t="s">
        <v>1062</v>
      </c>
      <c r="DF7" s="299" t="s">
        <v>1063</v>
      </c>
      <c r="DG7" s="299" t="s">
        <v>704</v>
      </c>
      <c r="DH7" s="299" t="s">
        <v>705</v>
      </c>
      <c r="DI7" s="299" t="s">
        <v>706</v>
      </c>
      <c r="DJ7" s="299" t="s">
        <v>707</v>
      </c>
      <c r="DK7" s="299" t="s">
        <v>708</v>
      </c>
      <c r="DL7" s="299" t="s">
        <v>709</v>
      </c>
      <c r="DM7" s="299" t="s">
        <v>710</v>
      </c>
      <c r="DN7" s="299" t="s">
        <v>711</v>
      </c>
      <c r="DO7" s="299" t="s">
        <v>712</v>
      </c>
      <c r="DP7" s="299" t="s">
        <v>713</v>
      </c>
      <c r="DQ7" s="299" t="s">
        <v>714</v>
      </c>
      <c r="DR7" s="299" t="s">
        <v>715</v>
      </c>
      <c r="DS7" s="299" t="s">
        <v>716</v>
      </c>
      <c r="DT7" s="299" t="s">
        <v>717</v>
      </c>
      <c r="DU7" s="299" t="s">
        <v>718</v>
      </c>
      <c r="DV7" s="299" t="s">
        <v>719</v>
      </c>
      <c r="DW7" s="299" t="s">
        <v>720</v>
      </c>
      <c r="DX7" s="299" t="s">
        <v>728</v>
      </c>
      <c r="DY7" s="299" t="s">
        <v>727</v>
      </c>
      <c r="DZ7" s="299" t="s">
        <v>729</v>
      </c>
      <c r="EA7" s="299" t="s">
        <v>726</v>
      </c>
      <c r="EB7" s="299" t="s">
        <v>731</v>
      </c>
      <c r="EC7" s="299" t="s">
        <v>725</v>
      </c>
      <c r="ED7" s="299" t="s">
        <v>724</v>
      </c>
      <c r="EE7" s="299" t="s">
        <v>733</v>
      </c>
      <c r="EF7" s="299" t="s">
        <v>723</v>
      </c>
      <c r="EG7" s="299" t="s">
        <v>722</v>
      </c>
      <c r="EH7" s="299" t="s">
        <v>721</v>
      </c>
      <c r="EI7" s="299" t="s">
        <v>734</v>
      </c>
      <c r="EJ7" s="299" t="s">
        <v>735</v>
      </c>
      <c r="EK7" s="299" t="s">
        <v>736</v>
      </c>
      <c r="EL7" s="299" t="s">
        <v>925</v>
      </c>
      <c r="EM7" s="299" t="s">
        <v>930</v>
      </c>
      <c r="EN7" s="299" t="s">
        <v>931</v>
      </c>
      <c r="EO7" s="299" t="s">
        <v>933</v>
      </c>
      <c r="EP7" s="299" t="s">
        <v>937</v>
      </c>
      <c r="EQ7" s="299" t="s">
        <v>941</v>
      </c>
      <c r="ER7" s="299" t="s">
        <v>948</v>
      </c>
      <c r="ES7" s="299" t="s">
        <v>949</v>
      </c>
      <c r="ET7" s="299" t="s">
        <v>950</v>
      </c>
      <c r="EU7" s="299" t="s">
        <v>951</v>
      </c>
      <c r="EV7" s="299" t="s">
        <v>953</v>
      </c>
      <c r="EW7" s="299" t="s">
        <v>972</v>
      </c>
      <c r="EX7" s="299" t="s">
        <v>973</v>
      </c>
      <c r="EY7" s="299" t="s">
        <v>982</v>
      </c>
      <c r="EZ7" s="299" t="s">
        <v>1195</v>
      </c>
      <c r="FA7" s="299" t="s">
        <v>1244</v>
      </c>
      <c r="FB7" s="299" t="s">
        <v>1245</v>
      </c>
      <c r="FC7" s="299" t="s">
        <v>1247</v>
      </c>
      <c r="FD7" s="299" t="s">
        <v>1249</v>
      </c>
      <c r="FE7" s="299" t="s">
        <v>1252</v>
      </c>
      <c r="FF7" s="299" t="s">
        <v>1253</v>
      </c>
      <c r="FG7" s="299" t="s">
        <v>1254</v>
      </c>
      <c r="FH7" s="299" t="s">
        <v>1255</v>
      </c>
      <c r="FI7" s="299" t="s">
        <v>1256</v>
      </c>
      <c r="FJ7" s="299" t="s">
        <v>1257</v>
      </c>
      <c r="FK7" s="299" t="s">
        <v>1258</v>
      </c>
      <c r="FL7" s="299" t="s">
        <v>1259</v>
      </c>
      <c r="FM7" s="299" t="s">
        <v>1318</v>
      </c>
      <c r="FN7" s="299" t="s">
        <v>1319</v>
      </c>
      <c r="FO7" s="299" t="s">
        <v>1428</v>
      </c>
      <c r="FP7" s="299" t="s">
        <v>1320</v>
      </c>
      <c r="FQ7" s="299" t="s">
        <v>1321</v>
      </c>
      <c r="FR7" s="299" t="s">
        <v>1322</v>
      </c>
      <c r="FS7" s="299" t="s">
        <v>1323</v>
      </c>
      <c r="FT7" s="299" t="s">
        <v>1324</v>
      </c>
      <c r="FU7" s="299" t="s">
        <v>1325</v>
      </c>
      <c r="FV7" s="299" t="s">
        <v>1326</v>
      </c>
      <c r="FW7" s="299" t="s">
        <v>1327</v>
      </c>
      <c r="FX7" s="299" t="s">
        <v>1328</v>
      </c>
      <c r="FY7" s="299" t="s">
        <v>1329</v>
      </c>
      <c r="FZ7" s="299" t="s">
        <v>1331</v>
      </c>
      <c r="GA7" s="299" t="s">
        <v>1332</v>
      </c>
      <c r="GB7" s="299" t="s">
        <v>1341</v>
      </c>
      <c r="GC7" s="299" t="s">
        <v>1344</v>
      </c>
      <c r="GD7" s="299" t="s">
        <v>1345</v>
      </c>
      <c r="GE7" s="299" t="s">
        <v>1346</v>
      </c>
      <c r="GF7" s="299" t="s">
        <v>1472</v>
      </c>
      <c r="GG7" s="299" t="s">
        <v>1347</v>
      </c>
      <c r="GH7" s="299" t="s">
        <v>1348</v>
      </c>
      <c r="GI7" s="299" t="s">
        <v>1349</v>
      </c>
      <c r="GJ7" s="299" t="s">
        <v>1351</v>
      </c>
      <c r="GK7" s="299" t="s">
        <v>1356</v>
      </c>
      <c r="GL7" s="299" t="s">
        <v>1357</v>
      </c>
      <c r="GM7" s="299" t="s">
        <v>1358</v>
      </c>
      <c r="GN7" s="299" t="s">
        <v>1359</v>
      </c>
      <c r="GO7" s="299" t="s">
        <v>1360</v>
      </c>
      <c r="GP7" s="299" t="s">
        <v>1361</v>
      </c>
      <c r="GQ7" s="299" t="s">
        <v>1362</v>
      </c>
      <c r="GR7" s="299" t="s">
        <v>1363</v>
      </c>
      <c r="GS7" s="299" t="s">
        <v>1492</v>
      </c>
      <c r="GT7" s="299" t="s">
        <v>1367</v>
      </c>
      <c r="GU7" s="299" t="s">
        <v>1368</v>
      </c>
      <c r="GV7" s="299" t="s">
        <v>1369</v>
      </c>
      <c r="GW7" s="299" t="s">
        <v>1370</v>
      </c>
      <c r="GX7" s="299" t="s">
        <v>1371</v>
      </c>
      <c r="GY7" s="299" t="s">
        <v>1372</v>
      </c>
      <c r="GZ7" s="299" t="s">
        <v>1373</v>
      </c>
      <c r="HA7" s="299" t="s">
        <v>1374</v>
      </c>
      <c r="HB7" s="299" t="s">
        <v>1375</v>
      </c>
      <c r="HC7" s="299" t="s">
        <v>1376</v>
      </c>
      <c r="HD7" s="299" t="s">
        <v>1377</v>
      </c>
      <c r="HE7" s="299" t="s">
        <v>1378</v>
      </c>
      <c r="HF7" s="299" t="s">
        <v>1379</v>
      </c>
      <c r="HG7" s="299" t="s">
        <v>1381</v>
      </c>
      <c r="HH7" s="299" t="s">
        <v>1382</v>
      </c>
      <c r="HI7" s="299" t="s">
        <v>1383</v>
      </c>
      <c r="HJ7" s="299" t="s">
        <v>1384</v>
      </c>
      <c r="HK7" s="299" t="s">
        <v>1385</v>
      </c>
      <c r="HL7" s="299" t="s">
        <v>1386</v>
      </c>
      <c r="HM7" s="299" t="s">
        <v>1387</v>
      </c>
      <c r="HN7" s="299" t="s">
        <v>1388</v>
      </c>
      <c r="HO7" s="299" t="s">
        <v>1390</v>
      </c>
      <c r="HP7" s="299" t="s">
        <v>1393</v>
      </c>
      <c r="HQ7" s="299" t="s">
        <v>1394</v>
      </c>
      <c r="HR7" s="299" t="s">
        <v>1395</v>
      </c>
      <c r="HS7" s="299" t="s">
        <v>1396</v>
      </c>
      <c r="HT7" s="299" t="s">
        <v>1397</v>
      </c>
      <c r="HU7" s="299" t="s">
        <v>1398</v>
      </c>
      <c r="HV7" s="299" t="s">
        <v>1399</v>
      </c>
      <c r="HW7" s="299" t="s">
        <v>1400</v>
      </c>
      <c r="HX7" s="299" t="s">
        <v>1401</v>
      </c>
      <c r="HY7" s="299" t="s">
        <v>1402</v>
      </c>
      <c r="HZ7" s="299" t="s">
        <v>1403</v>
      </c>
      <c r="IA7" s="299" t="s">
        <v>1404</v>
      </c>
      <c r="IB7" s="299" t="s">
        <v>1406</v>
      </c>
      <c r="IC7" s="299" t="s">
        <v>1407</v>
      </c>
      <c r="ID7" s="299" t="s">
        <v>1408</v>
      </c>
      <c r="IE7" s="299" t="s">
        <v>1409</v>
      </c>
      <c r="IF7" s="299" t="s">
        <v>1411</v>
      </c>
      <c r="IG7" s="299" t="s">
        <v>1412</v>
      </c>
      <c r="IH7" s="299" t="s">
        <v>1413</v>
      </c>
      <c r="II7" s="299" t="s">
        <v>1416</v>
      </c>
      <c r="IJ7" s="299" t="s">
        <v>1417</v>
      </c>
      <c r="IK7" s="299" t="s">
        <v>1419</v>
      </c>
      <c r="IL7" s="299" t="s">
        <v>1420</v>
      </c>
      <c r="IM7" s="299" t="s">
        <v>1423</v>
      </c>
      <c r="IN7" s="299" t="s">
        <v>1424</v>
      </c>
      <c r="IO7" s="299" t="s">
        <v>1425</v>
      </c>
      <c r="IP7" s="299" t="s">
        <v>1426</v>
      </c>
      <c r="IQ7" s="299" t="s">
        <v>1427</v>
      </c>
      <c r="IR7" s="299" t="s">
        <v>1429</v>
      </c>
      <c r="IS7" s="299" t="s">
        <v>1430</v>
      </c>
      <c r="IT7" s="299" t="s">
        <v>1433</v>
      </c>
      <c r="IU7" s="299" t="s">
        <v>1434</v>
      </c>
      <c r="IV7" s="299" t="s">
        <v>1450</v>
      </c>
      <c r="IW7" s="299" t="s">
        <v>1451</v>
      </c>
      <c r="IX7" s="299" t="s">
        <v>1454</v>
      </c>
      <c r="IY7" s="299" t="s">
        <v>1462</v>
      </c>
      <c r="IZ7" s="299" t="s">
        <v>1460</v>
      </c>
      <c r="JA7" s="299" t="s">
        <v>1464</v>
      </c>
      <c r="JB7" s="299" t="s">
        <v>1777</v>
      </c>
      <c r="JC7" s="299" t="s">
        <v>1467</v>
      </c>
      <c r="JD7" s="299" t="s">
        <v>1468</v>
      </c>
      <c r="JE7" s="299" t="s">
        <v>1469</v>
      </c>
      <c r="JF7" s="299" t="s">
        <v>1778</v>
      </c>
      <c r="JG7" s="299" t="s">
        <v>1470</v>
      </c>
      <c r="JH7" s="299" t="s">
        <v>1471</v>
      </c>
      <c r="JI7" s="299" t="s">
        <v>1461</v>
      </c>
      <c r="JJ7" s="299" t="s">
        <v>1779</v>
      </c>
      <c r="JK7" s="299" t="s">
        <v>1780</v>
      </c>
      <c r="JL7" s="299" t="s">
        <v>1474</v>
      </c>
      <c r="JM7" s="299" t="s">
        <v>1476</v>
      </c>
      <c r="JN7" s="299" t="s">
        <v>1477</v>
      </c>
      <c r="JO7" s="299" t="s">
        <v>1478</v>
      </c>
      <c r="JP7" s="299" t="s">
        <v>1480</v>
      </c>
      <c r="JQ7" s="299" t="s">
        <v>1481</v>
      </c>
      <c r="JR7" s="299" t="s">
        <v>1781</v>
      </c>
      <c r="JS7" s="299" t="s">
        <v>1485</v>
      </c>
      <c r="JT7" s="299" t="s">
        <v>1782</v>
      </c>
      <c r="JU7" s="299" t="s">
        <v>1487</v>
      </c>
      <c r="JV7" s="299" t="s">
        <v>1488</v>
      </c>
      <c r="JW7" s="299" t="s">
        <v>1489</v>
      </c>
      <c r="JX7" s="299" t="s">
        <v>1490</v>
      </c>
      <c r="JY7" s="299" t="s">
        <v>1493</v>
      </c>
      <c r="JZ7" s="299" t="s">
        <v>1494</v>
      </c>
      <c r="KA7" s="299" t="s">
        <v>1495</v>
      </c>
      <c r="KB7" s="299" t="s">
        <v>1496</v>
      </c>
      <c r="KC7" s="299" t="s">
        <v>1497</v>
      </c>
      <c r="KD7" s="299" t="s">
        <v>1498</v>
      </c>
      <c r="KE7" s="299" t="s">
        <v>1500</v>
      </c>
      <c r="KF7" s="299" t="s">
        <v>1502</v>
      </c>
      <c r="KG7" s="299" t="s">
        <v>1505</v>
      </c>
      <c r="KH7" s="299" t="s">
        <v>1506</v>
      </c>
      <c r="KI7" s="299" t="s">
        <v>1507</v>
      </c>
      <c r="KJ7" s="299" t="s">
        <v>1509</v>
      </c>
      <c r="KK7" s="299" t="s">
        <v>1510</v>
      </c>
      <c r="KL7" s="299" t="s">
        <v>1511</v>
      </c>
      <c r="KM7" s="299" t="s">
        <v>1512</v>
      </c>
      <c r="KN7" s="299" t="s">
        <v>1513</v>
      </c>
      <c r="KO7" s="299" t="s">
        <v>1514</v>
      </c>
      <c r="KP7" s="299" t="s">
        <v>1783</v>
      </c>
      <c r="KQ7" s="299" t="s">
        <v>1784</v>
      </c>
      <c r="KR7" s="299" t="s">
        <v>1515</v>
      </c>
      <c r="KS7" s="299" t="s">
        <v>1517</v>
      </c>
      <c r="KT7" s="299" t="s">
        <v>1518</v>
      </c>
      <c r="KU7" s="299" t="s">
        <v>1520</v>
      </c>
      <c r="KV7" s="299" t="s">
        <v>1521</v>
      </c>
      <c r="KW7" s="299" t="s">
        <v>1522</v>
      </c>
      <c r="KX7" s="299" t="s">
        <v>1523</v>
      </c>
      <c r="KY7" s="299" t="s">
        <v>1524</v>
      </c>
      <c r="KZ7" s="299" t="s">
        <v>1525</v>
      </c>
      <c r="LA7" s="299" t="s">
        <v>1526</v>
      </c>
      <c r="LB7" s="299" t="s">
        <v>1527</v>
      </c>
      <c r="LC7" s="299" t="s">
        <v>1528</v>
      </c>
      <c r="LD7" s="299" t="s">
        <v>1529</v>
      </c>
      <c r="LE7" s="299" t="s">
        <v>1785</v>
      </c>
      <c r="LF7" s="299" t="s">
        <v>1786</v>
      </c>
      <c r="LG7" s="299" t="s">
        <v>1530</v>
      </c>
      <c r="LH7" s="299" t="s">
        <v>1531</v>
      </c>
      <c r="LI7" s="299" t="s">
        <v>1532</v>
      </c>
      <c r="LJ7" s="299" t="s">
        <v>1533</v>
      </c>
      <c r="LK7" s="299" t="s">
        <v>1535</v>
      </c>
      <c r="LL7" s="299" t="s">
        <v>1787</v>
      </c>
      <c r="LM7" s="299" t="s">
        <v>1788</v>
      </c>
      <c r="LN7" s="299" t="s">
        <v>1789</v>
      </c>
      <c r="LO7" s="299" t="s">
        <v>1790</v>
      </c>
      <c r="LP7" s="299" t="s">
        <v>1791</v>
      </c>
      <c r="LQ7" s="299" t="s">
        <v>1792</v>
      </c>
      <c r="LR7" s="299" t="s">
        <v>1793</v>
      </c>
      <c r="LS7" s="299" t="s">
        <v>1794</v>
      </c>
      <c r="LT7" s="299" t="s">
        <v>1795</v>
      </c>
      <c r="LU7" s="299" t="s">
        <v>1796</v>
      </c>
      <c r="LV7" s="299" t="s">
        <v>1797</v>
      </c>
      <c r="LW7" s="299" t="s">
        <v>1798</v>
      </c>
      <c r="LX7" s="299" t="s">
        <v>1799</v>
      </c>
      <c r="LY7" s="299" t="s">
        <v>1800</v>
      </c>
      <c r="LZ7" s="299" t="s">
        <v>1801</v>
      </c>
      <c r="MA7" s="299" t="s">
        <v>1802</v>
      </c>
      <c r="MB7" s="299" t="s">
        <v>1803</v>
      </c>
      <c r="MC7" s="299" t="s">
        <v>1804</v>
      </c>
      <c r="MD7" s="299" t="s">
        <v>1805</v>
      </c>
      <c r="ME7" s="299" t="s">
        <v>1806</v>
      </c>
      <c r="MF7" s="299" t="s">
        <v>1807</v>
      </c>
      <c r="MG7" s="299" t="s">
        <v>1808</v>
      </c>
      <c r="MH7" s="299" t="s">
        <v>1809</v>
      </c>
      <c r="MI7" s="299" t="s">
        <v>1810</v>
      </c>
      <c r="MJ7" s="299" t="s">
        <v>1811</v>
      </c>
      <c r="MK7" s="299" t="s">
        <v>1812</v>
      </c>
      <c r="ML7" s="299" t="s">
        <v>1813</v>
      </c>
      <c r="MM7" s="299" t="s">
        <v>1814</v>
      </c>
      <c r="MN7" s="299" t="s">
        <v>1815</v>
      </c>
      <c r="MO7" s="299" t="s">
        <v>1816</v>
      </c>
      <c r="MP7" s="299" t="s">
        <v>1817</v>
      </c>
      <c r="MQ7" s="299" t="s">
        <v>1818</v>
      </c>
      <c r="MR7" s="299" t="s">
        <v>1819</v>
      </c>
      <c r="MS7" s="299" t="s">
        <v>1820</v>
      </c>
      <c r="MT7" s="299" t="s">
        <v>1821</v>
      </c>
      <c r="MU7" s="299" t="s">
        <v>1822</v>
      </c>
      <c r="MV7" s="299" t="s">
        <v>1823</v>
      </c>
      <c r="MW7" s="299" t="s">
        <v>1824</v>
      </c>
      <c r="MX7" s="299" t="s">
        <v>1825</v>
      </c>
      <c r="MY7" s="662"/>
      <c r="MZ7" s="662"/>
      <c r="NA7" s="662"/>
      <c r="NB7" s="662"/>
      <c r="NC7" s="662"/>
    </row>
    <row r="8" spans="1:369" ht="21.75" customHeight="1" x14ac:dyDescent="0.25">
      <c r="A8" s="208" t="s">
        <v>191</v>
      </c>
      <c r="B8" s="209" t="s">
        <v>330</v>
      </c>
      <c r="C8" s="210" t="s">
        <v>202</v>
      </c>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41"/>
      <c r="AF8" s="241"/>
      <c r="AG8" s="241"/>
      <c r="AH8" s="241"/>
      <c r="AI8" s="241"/>
      <c r="AJ8" s="241"/>
      <c r="AK8" s="241"/>
      <c r="AL8" s="241"/>
      <c r="AM8" s="241"/>
      <c r="AN8" s="241"/>
      <c r="AO8" s="241"/>
      <c r="AP8" s="241"/>
      <c r="AQ8" s="241"/>
      <c r="AR8" s="241"/>
      <c r="AS8" s="241"/>
      <c r="AT8" s="241"/>
      <c r="AU8" s="241"/>
      <c r="AV8" s="241"/>
      <c r="AW8" s="241"/>
      <c r="AX8" s="241"/>
      <c r="AY8" s="241"/>
      <c r="AZ8" s="229">
        <f>(27075000+50195000)+237857</f>
        <v>77507857</v>
      </c>
      <c r="BA8" s="229">
        <v>90714227</v>
      </c>
      <c r="BB8" s="229">
        <v>78927695</v>
      </c>
      <c r="BC8" s="229">
        <f>17340000+144000</f>
        <v>17484000</v>
      </c>
      <c r="BD8" s="229">
        <v>47149802</v>
      </c>
      <c r="BE8" s="229">
        <v>46921691</v>
      </c>
      <c r="BF8" s="229"/>
      <c r="BG8" s="229"/>
      <c r="BH8" s="229"/>
      <c r="BI8" s="229"/>
      <c r="BJ8" s="229"/>
      <c r="BK8" s="229"/>
      <c r="BL8" s="229"/>
      <c r="BM8" s="229"/>
      <c r="BN8" s="229"/>
      <c r="BO8" s="229"/>
      <c r="BP8" s="229"/>
      <c r="BQ8" s="229"/>
      <c r="BR8" s="229">
        <v>1212000</v>
      </c>
      <c r="BS8" s="229">
        <v>1212000</v>
      </c>
      <c r="BT8" s="229">
        <v>1077763</v>
      </c>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v>4000000</v>
      </c>
      <c r="CW8" s="229">
        <v>6180000</v>
      </c>
      <c r="CX8" s="229">
        <v>6180000</v>
      </c>
      <c r="CY8" s="229"/>
      <c r="CZ8" s="229"/>
      <c r="DA8" s="229"/>
      <c r="DB8" s="229"/>
      <c r="DC8" s="229"/>
      <c r="DD8" s="229"/>
      <c r="DE8" s="229"/>
      <c r="DF8" s="229"/>
      <c r="DG8" s="229"/>
      <c r="DH8" s="229">
        <v>10242000</v>
      </c>
      <c r="DI8" s="229">
        <v>11437600</v>
      </c>
      <c r="DJ8" s="229">
        <v>10812406</v>
      </c>
      <c r="DK8" s="241"/>
      <c r="DL8" s="241"/>
      <c r="DM8" s="241"/>
      <c r="DN8" s="229"/>
      <c r="DO8" s="229"/>
      <c r="DP8" s="229"/>
      <c r="DQ8" s="229"/>
      <c r="DR8" s="229"/>
      <c r="DS8" s="229"/>
      <c r="DT8" s="229"/>
      <c r="DU8" s="229"/>
      <c r="DV8" s="229"/>
      <c r="DW8" s="229">
        <v>3000000</v>
      </c>
      <c r="DX8" s="229">
        <v>3000000</v>
      </c>
      <c r="DY8" s="229">
        <v>1600000</v>
      </c>
      <c r="DZ8" s="229">
        <v>12256000</v>
      </c>
      <c r="EA8" s="229">
        <f>12256000-67701+67701-26207+26207-70000+70000-74828+74828-248276+200000+48276-67586+67586</f>
        <v>12256000</v>
      </c>
      <c r="EB8" s="229">
        <v>7907013</v>
      </c>
      <c r="EC8" s="229">
        <v>14452000</v>
      </c>
      <c r="ED8" s="229">
        <f>14452000-28000+28000-28000+28000+300000</f>
        <v>14752000</v>
      </c>
      <c r="EE8" s="229">
        <v>11902173</v>
      </c>
      <c r="EF8" s="229"/>
      <c r="EG8" s="229"/>
      <c r="EH8" s="229"/>
      <c r="EI8" s="229"/>
      <c r="EJ8" s="229"/>
      <c r="EK8" s="229"/>
      <c r="EL8" s="229"/>
      <c r="EM8" s="229"/>
      <c r="EN8" s="229"/>
      <c r="EO8" s="229">
        <v>8990320</v>
      </c>
      <c r="EP8" s="229">
        <f>8990320-101913+18000+83913+100000-18000+18000</f>
        <v>9090320</v>
      </c>
      <c r="EQ8" s="229">
        <v>5656684</v>
      </c>
      <c r="ER8" s="229">
        <v>37934480</v>
      </c>
      <c r="ES8" s="229">
        <v>38495966</v>
      </c>
      <c r="ET8" s="229">
        <v>34355481</v>
      </c>
      <c r="EU8" s="229"/>
      <c r="EV8" s="229"/>
      <c r="EW8" s="229"/>
      <c r="EX8" s="229">
        <v>8010000</v>
      </c>
      <c r="EY8" s="229">
        <v>6944400</v>
      </c>
      <c r="EZ8" s="229">
        <v>3275000</v>
      </c>
      <c r="FA8" s="229">
        <f>+(8658009)+38095</f>
        <v>8696104</v>
      </c>
      <c r="FB8" s="229">
        <f>+(8658009)+38095</f>
        <v>8696104</v>
      </c>
      <c r="FC8" s="229">
        <v>7943053</v>
      </c>
      <c r="FD8" s="229"/>
      <c r="FE8" s="229">
        <v>48126</v>
      </c>
      <c r="FF8" s="229">
        <v>48126</v>
      </c>
      <c r="FG8" s="240">
        <v>38955000</v>
      </c>
      <c r="FH8" s="240">
        <v>42027951</v>
      </c>
      <c r="FI8" s="240">
        <v>39203435</v>
      </c>
      <c r="FJ8" s="241"/>
      <c r="FK8" s="241"/>
      <c r="FL8" s="241"/>
      <c r="FM8" s="229"/>
      <c r="FN8" s="229"/>
      <c r="FO8" s="229"/>
      <c r="FP8" s="229">
        <v>562771</v>
      </c>
      <c r="FQ8" s="229">
        <v>562771</v>
      </c>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306">
        <f>2000000+800000+300000+292035</f>
        <v>3392035</v>
      </c>
      <c r="HD8" s="306">
        <f>2000000+800000+300000+292035+68936</f>
        <v>3460971</v>
      </c>
      <c r="HE8" s="306">
        <v>3042228</v>
      </c>
      <c r="HF8" s="229"/>
      <c r="HG8" s="229"/>
      <c r="HH8" s="229"/>
      <c r="HI8" s="229"/>
      <c r="HJ8" s="229"/>
      <c r="HK8" s="229"/>
      <c r="HL8" s="229">
        <v>720000</v>
      </c>
      <c r="HM8" s="229">
        <v>720000</v>
      </c>
      <c r="HN8" s="229">
        <v>720000</v>
      </c>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c r="IQ8" s="229"/>
      <c r="IR8" s="229"/>
      <c r="IS8" s="229"/>
      <c r="IT8" s="229"/>
      <c r="IU8" s="229"/>
      <c r="IV8" s="229"/>
      <c r="IW8" s="229"/>
      <c r="IX8" s="229"/>
      <c r="IY8" s="229"/>
      <c r="IZ8" s="229"/>
      <c r="JA8" s="229"/>
      <c r="JB8" s="229"/>
      <c r="JC8" s="229"/>
      <c r="JD8" s="229"/>
      <c r="JE8" s="229"/>
      <c r="JF8" s="229"/>
      <c r="JG8" s="229"/>
      <c r="JH8" s="229"/>
      <c r="JI8" s="229"/>
      <c r="JJ8" s="229"/>
      <c r="JK8" s="229"/>
      <c r="JL8" s="229"/>
      <c r="JM8" s="229"/>
      <c r="JN8" s="229"/>
      <c r="JO8" s="229"/>
      <c r="JP8" s="229"/>
      <c r="JQ8" s="229"/>
      <c r="JR8" s="229"/>
      <c r="JS8" s="241"/>
      <c r="JT8" s="241"/>
      <c r="JU8" s="241"/>
      <c r="JV8" s="241"/>
      <c r="JW8" s="241"/>
      <c r="JX8" s="241"/>
      <c r="JY8" s="241"/>
      <c r="JZ8" s="241"/>
      <c r="KA8" s="241"/>
      <c r="KB8" s="241"/>
      <c r="KC8" s="241"/>
      <c r="KD8" s="241"/>
      <c r="KE8" s="241"/>
      <c r="KF8" s="241"/>
      <c r="KG8" s="241"/>
      <c r="KH8" s="241"/>
      <c r="KI8" s="241"/>
      <c r="KJ8" s="241"/>
      <c r="KK8" s="241"/>
      <c r="KL8" s="241"/>
      <c r="KM8" s="241"/>
      <c r="KN8" s="241"/>
      <c r="KO8" s="241"/>
      <c r="KP8" s="241"/>
      <c r="KQ8" s="241"/>
      <c r="KR8" s="241"/>
      <c r="KS8" s="241"/>
      <c r="KT8" s="241"/>
      <c r="KU8" s="241"/>
      <c r="KV8" s="241"/>
      <c r="KW8" s="229"/>
      <c r="KX8" s="229"/>
      <c r="KY8" s="229"/>
      <c r="KZ8" s="229"/>
      <c r="LA8" s="229"/>
      <c r="LB8" s="229"/>
      <c r="LC8" s="229"/>
      <c r="LD8" s="229"/>
      <c r="LE8" s="229"/>
      <c r="LF8" s="229"/>
      <c r="LG8" s="229">
        <v>579760</v>
      </c>
      <c r="LH8" s="229">
        <v>434820</v>
      </c>
      <c r="LI8" s="229"/>
      <c r="LJ8" s="229"/>
      <c r="LK8" s="229"/>
      <c r="LL8" s="229"/>
      <c r="LM8" s="229"/>
      <c r="LN8" s="229"/>
      <c r="LO8" s="229"/>
      <c r="LP8" s="229"/>
      <c r="LQ8" s="229"/>
      <c r="LR8" s="229"/>
      <c r="LS8" s="229"/>
      <c r="LT8" s="229"/>
      <c r="LU8" s="229"/>
      <c r="LV8" s="229"/>
      <c r="LW8" s="229"/>
      <c r="LX8" s="229"/>
      <c r="LY8" s="229"/>
      <c r="LZ8" s="229"/>
      <c r="MA8" s="229"/>
      <c r="MB8" s="229"/>
      <c r="MC8" s="229"/>
      <c r="MD8" s="229"/>
      <c r="ME8" s="229"/>
      <c r="MF8" s="229"/>
      <c r="MG8" s="229"/>
      <c r="MH8" s="229"/>
      <c r="MI8" s="229"/>
      <c r="MJ8" s="229"/>
      <c r="MK8" s="229"/>
      <c r="ML8" s="229"/>
      <c r="MM8" s="229"/>
      <c r="MN8" s="229"/>
      <c r="MO8" s="229"/>
      <c r="MP8" s="229"/>
      <c r="MQ8" s="229"/>
      <c r="MR8" s="229"/>
      <c r="MS8" s="229"/>
      <c r="MT8" s="229"/>
      <c r="MU8" s="229"/>
      <c r="MV8" s="229"/>
      <c r="MW8" s="229"/>
      <c r="MX8" s="229"/>
      <c r="MY8" s="663">
        <f>+E8+H8+K8+Q8++T8+W8+Z8+AC8+AF8+AO8+AR8+AU8+AX8+BA8+BD8+BG8+BJ8+BM8+BV8+BY8+CB8+CE8+CH8+CK8+CN8+CQ8+CT8+DC8+DF8+DI8+DL8+DR8+EA8+ED8+EG8+EJ8+EM8+EP8+ES8+EV8+FN8+FT8+GC8+GF8+GI8+GO8+GR8+HJ8+HM8+HP8+IM8+IJ8+IV8+IY8+JE8+JH8+JK8+JN8+JT8+JZ8+KC8+LA8+LD8+LG8+LJ8+LM8+LP8+LS8+LV8+ME8+MH8+MQ8+MT8+GL8+GU8</f>
        <v>225195675</v>
      </c>
      <c r="MZ8" s="663">
        <f>+F8+I8+L8+R8++U8+X8+AA8+AD8+AG8+AP8+AS8+AV8+AY8+BB8+BE8+BH8+BK8+BN8+BW8+BZ8+CC8+CF8+CI8+CL8+CO8+CR8+CU8+DD8+DG8+DJ8+DM8+DS8+EB8+EE8+EH8+EK8+EN8+EQ8+ET8+EW8+FO8+FU8+GD8+GG8+GJ8+GP8+GS8+HK8+HN8+HQ8+IN8+IK8+IW8+IZ8+JF8+JI8+JL8+JO8+JU8+KA8+KD8+LB8+LE8+LH8+LK8+LN8+LQ8+LT8+LW8+MF8+MI8+MR8+MU8+GM8+GV8</f>
        <v>197637963</v>
      </c>
      <c r="NA8" s="663">
        <f>+N8+AI8+AL8+BP8+BS8+CW8+CZ8+DO8+DU8+DX8+EY8+FB8+FE8+FH8+FK8+FZ8+GX8+HA8+HD8+HG8+HS8+HV8+HY8+IB8+IE8+IP8+IS8+JB8+JQ8+KF8+KI8+KL8+KO8+KR8+KX8+LY8+MB8+MK8+MN8+FQ8</f>
        <v>72132323</v>
      </c>
      <c r="NB8" s="663">
        <f>+O8+AJ8+AM8+BQ8+BT8+CX8+DA8+DP8+DV8+DY8+EZ8+FC8+FF8+FI8+FL8+GA8+GY8+HB8+HE8+HH8+HT8+HW8+HZ8+IC8+IF8+IQ8+IT8+JC8+JR8+KG8+KJ8+KM8+KP8+KS8+KY8+LZ8+MC8+ML8+MO8</f>
        <v>62369605</v>
      </c>
      <c r="NC8" s="663"/>
      <c r="ND8" s="213"/>
    </row>
    <row r="9" spans="1:369" s="215" customFormat="1" ht="21.75" customHeight="1" x14ac:dyDescent="0.25">
      <c r="A9" s="208" t="s">
        <v>192</v>
      </c>
      <c r="B9" s="214" t="s">
        <v>203</v>
      </c>
      <c r="C9" s="210" t="s">
        <v>204</v>
      </c>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40"/>
      <c r="AF9" s="240"/>
      <c r="AG9" s="240"/>
      <c r="AH9" s="240"/>
      <c r="AI9" s="240"/>
      <c r="AJ9" s="240"/>
      <c r="AK9" s="240"/>
      <c r="AL9" s="240"/>
      <c r="AM9" s="240"/>
      <c r="AN9" s="240"/>
      <c r="AO9" s="240"/>
      <c r="AP9" s="240"/>
      <c r="AQ9" s="240"/>
      <c r="AR9" s="240"/>
      <c r="AS9" s="240"/>
      <c r="AT9" s="240"/>
      <c r="AU9" s="240"/>
      <c r="AV9" s="240"/>
      <c r="AW9" s="240"/>
      <c r="AX9" s="240"/>
      <c r="AY9" s="240"/>
      <c r="AZ9" s="229">
        <f>3554750+6652100</f>
        <v>10206850</v>
      </c>
      <c r="BA9" s="229">
        <v>10548558</v>
      </c>
      <c r="BB9" s="229">
        <v>8005501</v>
      </c>
      <c r="BC9" s="229">
        <f>2324200+1750832+18720</f>
        <v>4093752</v>
      </c>
      <c r="BD9" s="229">
        <v>7406430</v>
      </c>
      <c r="BE9" s="229">
        <v>5615214</v>
      </c>
      <c r="BF9" s="229"/>
      <c r="BG9" s="229"/>
      <c r="BH9" s="229"/>
      <c r="BI9" s="229"/>
      <c r="BJ9" s="229"/>
      <c r="BK9" s="229"/>
      <c r="BL9" s="229"/>
      <c r="BM9" s="229"/>
      <c r="BN9" s="229"/>
      <c r="BO9" s="229"/>
      <c r="BP9" s="229"/>
      <c r="BQ9" s="229"/>
      <c r="BR9" s="229">
        <v>188000</v>
      </c>
      <c r="BS9" s="229">
        <v>450357</v>
      </c>
      <c r="BT9" s="229">
        <v>450357</v>
      </c>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229"/>
      <c r="DF9" s="229"/>
      <c r="DG9" s="229"/>
      <c r="DH9" s="229">
        <v>1371710</v>
      </c>
      <c r="DI9" s="229">
        <f>1371710+16900</f>
        <v>1388610</v>
      </c>
      <c r="DJ9" s="229">
        <v>1188598</v>
      </c>
      <c r="DK9" s="240"/>
      <c r="DL9" s="240"/>
      <c r="DM9" s="240"/>
      <c r="DN9" s="229"/>
      <c r="DO9" s="229"/>
      <c r="DP9" s="229"/>
      <c r="DQ9" s="229"/>
      <c r="DR9" s="229"/>
      <c r="DS9" s="229"/>
      <c r="DT9" s="229"/>
      <c r="DU9" s="229"/>
      <c r="DV9" s="229"/>
      <c r="DW9" s="229">
        <v>465000</v>
      </c>
      <c r="DX9" s="229">
        <v>465000</v>
      </c>
      <c r="DY9" s="229">
        <v>208000</v>
      </c>
      <c r="DZ9" s="229">
        <v>1678280</v>
      </c>
      <c r="EA9" s="229">
        <v>1678280</v>
      </c>
      <c r="EB9" s="229">
        <v>1069106</v>
      </c>
      <c r="EC9" s="229">
        <v>1975010</v>
      </c>
      <c r="ED9" s="229">
        <f>1975010+39000</f>
        <v>2014010</v>
      </c>
      <c r="EE9" s="229">
        <v>1264881</v>
      </c>
      <c r="EF9" s="229"/>
      <c r="EG9" s="229"/>
      <c r="EH9" s="229"/>
      <c r="EI9" s="229"/>
      <c r="EJ9" s="229"/>
      <c r="EK9" s="229"/>
      <c r="EL9" s="229"/>
      <c r="EM9" s="229"/>
      <c r="EN9" s="229"/>
      <c r="EO9" s="229">
        <v>1238742</v>
      </c>
      <c r="EP9" s="229">
        <v>1441562</v>
      </c>
      <c r="EQ9" s="229">
        <v>1441562</v>
      </c>
      <c r="ER9" s="229">
        <v>5106482</v>
      </c>
      <c r="ES9" s="229">
        <v>4993148</v>
      </c>
      <c r="ET9" s="229">
        <v>4477351</v>
      </c>
      <c r="EU9" s="229"/>
      <c r="EV9" s="229"/>
      <c r="EW9" s="229"/>
      <c r="EX9" s="229">
        <v>1076300</v>
      </c>
      <c r="EY9" s="229">
        <v>1076300</v>
      </c>
      <c r="EZ9" s="229">
        <v>311040</v>
      </c>
      <c r="FA9" s="229">
        <v>1341991</v>
      </c>
      <c r="FB9" s="229">
        <v>2959473</v>
      </c>
      <c r="FC9" s="229">
        <v>2959473</v>
      </c>
      <c r="FD9" s="229"/>
      <c r="FE9" s="229">
        <v>18945</v>
      </c>
      <c r="FF9" s="229">
        <v>18945</v>
      </c>
      <c r="FG9" s="240">
        <v>5309150</v>
      </c>
      <c r="FH9" s="240">
        <f>5309150+301984+104000</f>
        <v>5715134</v>
      </c>
      <c r="FI9" s="240">
        <v>5451446</v>
      </c>
      <c r="FJ9" s="240"/>
      <c r="FK9" s="240"/>
      <c r="FL9" s="240"/>
      <c r="FM9" s="229"/>
      <c r="FN9" s="229"/>
      <c r="FO9" s="229"/>
      <c r="FP9" s="229">
        <v>87229</v>
      </c>
      <c r="FQ9" s="229">
        <v>87229</v>
      </c>
      <c r="FR9" s="229"/>
      <c r="FS9" s="229"/>
      <c r="FT9" s="229"/>
      <c r="FU9" s="229"/>
      <c r="FV9" s="229"/>
      <c r="FW9" s="229"/>
      <c r="FX9" s="229"/>
      <c r="FY9" s="229"/>
      <c r="FZ9" s="229"/>
      <c r="GA9" s="229"/>
      <c r="GB9" s="229"/>
      <c r="GC9" s="229"/>
      <c r="GD9" s="229"/>
      <c r="GE9" s="229"/>
      <c r="GF9" s="229"/>
      <c r="GG9" s="229"/>
      <c r="GH9" s="229"/>
      <c r="GI9" s="229"/>
      <c r="GJ9" s="229"/>
      <c r="GK9" s="229"/>
      <c r="GL9" s="229"/>
      <c r="GM9" s="229"/>
      <c r="GN9" s="229"/>
      <c r="GO9" s="229"/>
      <c r="GP9" s="229"/>
      <c r="GQ9" s="229"/>
      <c r="GR9" s="229"/>
      <c r="GS9" s="229"/>
      <c r="GT9" s="229"/>
      <c r="GU9" s="229"/>
      <c r="GV9" s="229"/>
      <c r="GW9" s="229"/>
      <c r="GX9" s="229"/>
      <c r="GY9" s="229"/>
      <c r="GZ9" s="229"/>
      <c r="HA9" s="229"/>
      <c r="HB9" s="229"/>
      <c r="HC9" s="306">
        <f>480500+37965</f>
        <v>518465</v>
      </c>
      <c r="HD9" s="306">
        <f>480500+37965</f>
        <v>518465</v>
      </c>
      <c r="HE9" s="306">
        <v>109422</v>
      </c>
      <c r="HF9" s="229"/>
      <c r="HG9" s="229"/>
      <c r="HH9" s="229"/>
      <c r="HI9" s="229"/>
      <c r="HJ9" s="229"/>
      <c r="HK9" s="229"/>
      <c r="HL9" s="229">
        <v>297360</v>
      </c>
      <c r="HM9" s="229">
        <v>297360</v>
      </c>
      <c r="HN9" s="229"/>
      <c r="HO9" s="229"/>
      <c r="HP9" s="229"/>
      <c r="HQ9" s="229"/>
      <c r="HR9" s="229"/>
      <c r="HS9" s="229"/>
      <c r="HT9" s="229"/>
      <c r="HU9" s="229"/>
      <c r="HV9" s="229"/>
      <c r="HW9" s="229"/>
      <c r="HX9" s="229"/>
      <c r="HY9" s="229"/>
      <c r="HZ9" s="229"/>
      <c r="IA9" s="229"/>
      <c r="IB9" s="229"/>
      <c r="IC9" s="229"/>
      <c r="ID9" s="229"/>
      <c r="IE9" s="229"/>
      <c r="IF9" s="229"/>
      <c r="IG9" s="229"/>
      <c r="IH9" s="229"/>
      <c r="II9" s="229"/>
      <c r="IJ9" s="229"/>
      <c r="IK9" s="229"/>
      <c r="IL9" s="229"/>
      <c r="IM9" s="229"/>
      <c r="IN9" s="229"/>
      <c r="IO9" s="229"/>
      <c r="IP9" s="229"/>
      <c r="IQ9" s="229"/>
      <c r="IR9" s="229"/>
      <c r="IS9" s="229"/>
      <c r="IT9" s="229"/>
      <c r="IU9" s="229"/>
      <c r="IV9" s="229"/>
      <c r="IW9" s="229"/>
      <c r="IX9" s="229"/>
      <c r="IY9" s="229"/>
      <c r="IZ9" s="229"/>
      <c r="JA9" s="229"/>
      <c r="JB9" s="229"/>
      <c r="JC9" s="229"/>
      <c r="JD9" s="229"/>
      <c r="JE9" s="229"/>
      <c r="JF9" s="229"/>
      <c r="JG9" s="229"/>
      <c r="JH9" s="229"/>
      <c r="JI9" s="229"/>
      <c r="JJ9" s="229"/>
      <c r="JK9" s="229"/>
      <c r="JL9" s="229"/>
      <c r="JM9" s="229"/>
      <c r="JN9" s="229"/>
      <c r="JO9" s="229"/>
      <c r="JP9" s="229"/>
      <c r="JQ9" s="229"/>
      <c r="JR9" s="229"/>
      <c r="JS9" s="240"/>
      <c r="JT9" s="240"/>
      <c r="JU9" s="240"/>
      <c r="JV9" s="240"/>
      <c r="JW9" s="240"/>
      <c r="JX9" s="240"/>
      <c r="JY9" s="240"/>
      <c r="JZ9" s="240"/>
      <c r="KA9" s="240"/>
      <c r="KB9" s="240"/>
      <c r="KC9" s="240"/>
      <c r="KD9" s="240"/>
      <c r="KE9" s="240"/>
      <c r="KF9" s="240"/>
      <c r="KG9" s="240"/>
      <c r="KH9" s="240"/>
      <c r="KI9" s="240"/>
      <c r="KJ9" s="240"/>
      <c r="KK9" s="240"/>
      <c r="KL9" s="240"/>
      <c r="KM9" s="240"/>
      <c r="KN9" s="240"/>
      <c r="KO9" s="240"/>
      <c r="KP9" s="240"/>
      <c r="KQ9" s="240"/>
      <c r="KR9" s="240"/>
      <c r="KS9" s="240"/>
      <c r="KT9" s="240"/>
      <c r="KU9" s="240"/>
      <c r="KV9" s="240"/>
      <c r="KW9" s="229"/>
      <c r="KX9" s="229"/>
      <c r="KY9" s="229"/>
      <c r="KZ9" s="229"/>
      <c r="LA9" s="229"/>
      <c r="LB9" s="229"/>
      <c r="LC9" s="229"/>
      <c r="LD9" s="229"/>
      <c r="LE9" s="229"/>
      <c r="LF9" s="229"/>
      <c r="LG9" s="229">
        <v>67832</v>
      </c>
      <c r="LH9" s="229">
        <v>50874</v>
      </c>
      <c r="LI9" s="229"/>
      <c r="LJ9" s="229"/>
      <c r="LK9" s="229"/>
      <c r="LL9" s="229"/>
      <c r="LM9" s="229"/>
      <c r="LN9" s="229"/>
      <c r="LO9" s="229"/>
      <c r="LP9" s="229"/>
      <c r="LQ9" s="229"/>
      <c r="LR9" s="229"/>
      <c r="LS9" s="229"/>
      <c r="LT9" s="229"/>
      <c r="LU9" s="229"/>
      <c r="LV9" s="229"/>
      <c r="LW9" s="229"/>
      <c r="LX9" s="229"/>
      <c r="LY9" s="229"/>
      <c r="LZ9" s="229"/>
      <c r="MA9" s="229"/>
      <c r="MB9" s="229"/>
      <c r="MC9" s="229"/>
      <c r="MD9" s="229"/>
      <c r="ME9" s="229"/>
      <c r="MF9" s="229"/>
      <c r="MG9" s="229"/>
      <c r="MH9" s="229"/>
      <c r="MI9" s="229"/>
      <c r="MJ9" s="229"/>
      <c r="MK9" s="229"/>
      <c r="ML9" s="229"/>
      <c r="MM9" s="229"/>
      <c r="MN9" s="229"/>
      <c r="MO9" s="229"/>
      <c r="MP9" s="229"/>
      <c r="MQ9" s="229"/>
      <c r="MR9" s="229"/>
      <c r="MS9" s="229"/>
      <c r="MT9" s="229"/>
      <c r="MU9" s="229"/>
      <c r="MV9" s="229"/>
      <c r="MW9" s="229"/>
      <c r="MX9" s="229"/>
      <c r="MY9" s="663">
        <f t="shared" ref="MY9:MY49" si="0">+E9+H9+K9+Q9++T9+W9+Z9+AC9+AF9+AO9+AR9+AU9+AX9+BA9+BD9+BG9+BJ9+BM9+BV9+BY9+CB9+CE9+CH9+CK9+CN9+CQ9+CT9+DC9+DF9+DI9+DL9+DR9+EA9+ED9+EG9+EJ9+EM9+EP9+ES9+EV9+FN9+FT9+GC9+GF9+GI9+GO9+GR9+HJ9+HM9+HP9+IM9+IJ9+IV9+IY9+JE9+JH9+JK9+JN9+JT9+JZ9+KC9+LA9+LD9+LG9+LJ9+LM9+LP9+LS9+LV9+ME9+MH9+MQ9+MT9+GL9+GU9</f>
        <v>29835790</v>
      </c>
      <c r="MZ9" s="663">
        <f t="shared" ref="MZ9:MZ49" si="1">+F9+I9+L9+R9++U9+X9+AA9+AD9+AG9+AP9+AS9+AV9+AY9+BB9+BE9+BH9+BK9+BN9+BW9+BZ9+CC9+CF9+CI9+CL9+CO9+CR9+CU9+DD9+DG9+DJ9+DM9+DS9+EB9+EE9+EH9+EK9+EN9+EQ9+ET9+EW9+FO9+FU9+GD9+GG9+GJ9+GP9+GS9+HK9+HN9+HQ9+IN9+IK9+IW9+IZ9+JF9+JI9+JL9+JO9+JU9+KA9+KD9+LB9+LE9+LH9+LK9+LN9+LQ9+LT9+LW9+MF9+MI9+MR9+MU9+GM9+GV9</f>
        <v>23113087</v>
      </c>
      <c r="NA9" s="663">
        <f>+N9+AI9+AL9+BP9+BS9+CW9+CZ9+DO9+DU9+DX9+EY9+FB9+FE9+FH9+FK9+FZ9+GX9+HA9+HD9+HG9+HS9+HV9+HY9+IB9+IE9+IP9+IS9+JB9+JQ9+KF9+KI9+KL9+KO9+KR9+KX9+LY9+MB9+MK9+MN9+FQ9</f>
        <v>11290903</v>
      </c>
      <c r="NB9" s="663">
        <f>+O9+AJ9+AM9+BQ9+BT9+CX9+DA9+DP9+DV9+DY9+EZ9+FC9+FF9+FI9+FL9+GA9+GY9+HB9+HE9+HH9+HT9+HW9+HZ9+IC9+IF9+IQ9+IT9+JC9+JR9+KG9+KJ9+KM9+KP9+KS9+KY9+LZ9+MC9+ML9+MO9</f>
        <v>9508683</v>
      </c>
      <c r="NC9" s="663"/>
      <c r="ND9" s="213"/>
    </row>
    <row r="10" spans="1:369" s="245" customFormat="1" ht="21.75" customHeight="1" x14ac:dyDescent="0.25">
      <c r="A10" s="295" t="s">
        <v>193</v>
      </c>
      <c r="B10" s="860" t="s">
        <v>331</v>
      </c>
      <c r="C10" s="297" t="s">
        <v>205</v>
      </c>
      <c r="D10" s="229"/>
      <c r="E10" s="229"/>
      <c r="F10" s="229"/>
      <c r="G10" s="229"/>
      <c r="H10" s="229"/>
      <c r="I10" s="229"/>
      <c r="J10" s="229"/>
      <c r="K10" s="229"/>
      <c r="L10" s="229"/>
      <c r="M10" s="229"/>
      <c r="N10" s="229"/>
      <c r="O10" s="229"/>
      <c r="P10" s="229"/>
      <c r="Q10" s="229">
        <v>0</v>
      </c>
      <c r="R10" s="229"/>
      <c r="S10" s="229"/>
      <c r="T10" s="229"/>
      <c r="U10" s="229"/>
      <c r="V10" s="229"/>
      <c r="W10" s="229"/>
      <c r="X10" s="229"/>
      <c r="Y10" s="229"/>
      <c r="Z10" s="229"/>
      <c r="AA10" s="229"/>
      <c r="AB10" s="229">
        <v>1000000</v>
      </c>
      <c r="AC10" s="229">
        <v>1000000</v>
      </c>
      <c r="AD10" s="229"/>
      <c r="AE10" s="240">
        <f>(10000000)+6262+21232</f>
        <v>10027494</v>
      </c>
      <c r="AF10" s="240">
        <v>30728244</v>
      </c>
      <c r="AG10" s="240">
        <v>27314173</v>
      </c>
      <c r="AH10" s="241"/>
      <c r="AI10" s="241"/>
      <c r="AJ10" s="241"/>
      <c r="AK10" s="241"/>
      <c r="AL10" s="241">
        <v>160000</v>
      </c>
      <c r="AM10" s="241">
        <v>160000</v>
      </c>
      <c r="AN10" s="241"/>
      <c r="AO10" s="241"/>
      <c r="AP10" s="241"/>
      <c r="AQ10" s="241"/>
      <c r="AR10" s="241"/>
      <c r="AS10" s="241"/>
      <c r="AT10" s="241"/>
      <c r="AU10" s="241"/>
      <c r="AV10" s="241"/>
      <c r="AW10" s="241"/>
      <c r="AX10" s="241"/>
      <c r="AY10" s="241"/>
      <c r="AZ10" s="229">
        <f>(3063000)+11893</f>
        <v>3074893</v>
      </c>
      <c r="BA10" s="229">
        <v>3074893</v>
      </c>
      <c r="BB10" s="229">
        <v>1344407</v>
      </c>
      <c r="BC10" s="229">
        <f>+(47995964)+23923964</f>
        <v>71919928</v>
      </c>
      <c r="BD10" s="229">
        <v>78545153</v>
      </c>
      <c r="BE10" s="229">
        <v>62395318</v>
      </c>
      <c r="BF10" s="229"/>
      <c r="BG10" s="229"/>
      <c r="BH10" s="229"/>
      <c r="BI10" s="229">
        <f>(5000000+3000000)+18137+14+963418</f>
        <v>8981569</v>
      </c>
      <c r="BJ10" s="229">
        <v>10484010</v>
      </c>
      <c r="BK10" s="229">
        <v>7393970</v>
      </c>
      <c r="BL10" s="229"/>
      <c r="BM10" s="229"/>
      <c r="BN10" s="229"/>
      <c r="BO10" s="229"/>
      <c r="BP10" s="229"/>
      <c r="BQ10" s="229"/>
      <c r="BR10" s="229">
        <v>25000000</v>
      </c>
      <c r="BS10" s="229">
        <v>23901196</v>
      </c>
      <c r="BT10" s="229">
        <v>22890839</v>
      </c>
      <c r="BU10" s="229">
        <v>10000000</v>
      </c>
      <c r="BV10" s="229">
        <v>5000000</v>
      </c>
      <c r="BW10" s="229">
        <v>4914900</v>
      </c>
      <c r="BX10" s="229">
        <f>25000000</f>
        <v>25000000</v>
      </c>
      <c r="BY10" s="229">
        <v>22024600</v>
      </c>
      <c r="BZ10" s="229">
        <v>21924600</v>
      </c>
      <c r="CA10" s="229">
        <f>(10000000+(150000000+7620000)+5000000+2000000+5000000+8000000+32000000+5000000+10000000+10000000+3000000+8000000+1392000+10000000+10000000+6000000)+15938943</f>
        <v>298950943</v>
      </c>
      <c r="CB10" s="229">
        <v>292971255</v>
      </c>
      <c r="CC10" s="229">
        <v>276414652</v>
      </c>
      <c r="CD10" s="229">
        <f>(10000000+12000000+15000000+1428000+1380000)+76200+3243838</f>
        <v>43128038</v>
      </c>
      <c r="CE10" s="229">
        <v>46905466</v>
      </c>
      <c r="CF10" s="229">
        <v>34738224</v>
      </c>
      <c r="CG10" s="229">
        <f>32500000+19000000</f>
        <v>51500000</v>
      </c>
      <c r="CH10" s="229">
        <v>29146500</v>
      </c>
      <c r="CI10" s="229">
        <v>29146500</v>
      </c>
      <c r="CJ10" s="229">
        <f>5000000+300000</f>
        <v>5300000</v>
      </c>
      <c r="CK10" s="229">
        <v>13424552</v>
      </c>
      <c r="CL10" s="229">
        <v>13362453</v>
      </c>
      <c r="CM10" s="229">
        <f>(160000000+10000000)+24079193</f>
        <v>194079193</v>
      </c>
      <c r="CN10" s="229">
        <v>200780446</v>
      </c>
      <c r="CO10" s="229">
        <v>177600406</v>
      </c>
      <c r="CP10" s="229">
        <f>50000000+50000000+1000000</f>
        <v>101000000</v>
      </c>
      <c r="CQ10" s="229">
        <v>120507757</v>
      </c>
      <c r="CR10" s="229">
        <v>116788466</v>
      </c>
      <c r="CS10" s="229">
        <f>(30786653)+250000+160000+2540000+2540000</f>
        <v>36276653</v>
      </c>
      <c r="CT10" s="229">
        <v>41458926</v>
      </c>
      <c r="CU10" s="229">
        <v>26705940</v>
      </c>
      <c r="CV10" s="229">
        <f>1430000+1200000</f>
        <v>2630000</v>
      </c>
      <c r="CW10" s="229">
        <v>2930000</v>
      </c>
      <c r="CX10" s="229">
        <v>2346276</v>
      </c>
      <c r="CY10" s="229">
        <f>+(20000000)+200000+300000+222250</f>
        <v>20722250</v>
      </c>
      <c r="CZ10" s="229">
        <f>+(20000000)+200000+300000+222250</f>
        <v>20722250</v>
      </c>
      <c r="DA10" s="229">
        <v>13648000</v>
      </c>
      <c r="DB10" s="229">
        <f>5000000+4152000</f>
        <v>9152000</v>
      </c>
      <c r="DC10" s="229">
        <v>7462751</v>
      </c>
      <c r="DD10" s="229">
        <v>7116751</v>
      </c>
      <c r="DE10" s="229">
        <f>+(19000000)+609600</f>
        <v>19609600</v>
      </c>
      <c r="DF10" s="229">
        <f>+(19000000)+609600+500000+135000+150000+40500</f>
        <v>20435100</v>
      </c>
      <c r="DG10" s="229">
        <v>6724651</v>
      </c>
      <c r="DH10" s="229">
        <f>(24409400)+3922+10668+88990+810787+609600</f>
        <v>25933367</v>
      </c>
      <c r="DI10" s="229">
        <v>42846117</v>
      </c>
      <c r="DJ10" s="229">
        <v>21976614</v>
      </c>
      <c r="DK10" s="241"/>
      <c r="DL10" s="241"/>
      <c r="DM10" s="241"/>
      <c r="DN10" s="229">
        <v>2000000</v>
      </c>
      <c r="DO10" s="229">
        <v>2000000</v>
      </c>
      <c r="DP10" s="229">
        <v>1574800</v>
      </c>
      <c r="DQ10" s="229"/>
      <c r="DR10" s="229">
        <v>240000</v>
      </c>
      <c r="DS10" s="229">
        <v>240000</v>
      </c>
      <c r="DT10" s="229">
        <v>500000</v>
      </c>
      <c r="DU10" s="229">
        <v>500000</v>
      </c>
      <c r="DV10" s="229"/>
      <c r="DW10" s="229"/>
      <c r="DX10" s="229">
        <f>157480+42520</f>
        <v>200000</v>
      </c>
      <c r="DY10" s="229">
        <v>124731</v>
      </c>
      <c r="DZ10" s="229">
        <v>2500000</v>
      </c>
      <c r="EA10" s="229">
        <v>2500000</v>
      </c>
      <c r="EB10" s="229">
        <v>820134</v>
      </c>
      <c r="EC10" s="229">
        <f>(17901350)+10929+5171+42000</f>
        <v>17959450</v>
      </c>
      <c r="ED10" s="229">
        <v>24309450</v>
      </c>
      <c r="EE10" s="229">
        <v>18750435</v>
      </c>
      <c r="EF10" s="229">
        <v>1500000</v>
      </c>
      <c r="EG10" s="229">
        <v>1445010</v>
      </c>
      <c r="EH10" s="229">
        <v>564663</v>
      </c>
      <c r="EI10" s="229">
        <v>2000000</v>
      </c>
      <c r="EJ10" s="229">
        <v>23285331</v>
      </c>
      <c r="EK10" s="229">
        <v>19820707</v>
      </c>
      <c r="EL10" s="229">
        <f>(1000000)+11638</f>
        <v>1011638</v>
      </c>
      <c r="EM10" s="229">
        <v>1026838</v>
      </c>
      <c r="EN10" s="229">
        <v>389068</v>
      </c>
      <c r="EO10" s="229">
        <v>16875600</v>
      </c>
      <c r="EP10" s="229">
        <v>17248926</v>
      </c>
      <c r="EQ10" s="229">
        <v>13966574</v>
      </c>
      <c r="ER10" s="229">
        <f>(25607800)+13716+24964+212217+105029+29154</f>
        <v>25992880</v>
      </c>
      <c r="ES10" s="229">
        <v>31506566</v>
      </c>
      <c r="ET10" s="229">
        <v>22784853</v>
      </c>
      <c r="EU10" s="229">
        <f>(70000000+1000000+6000000+5000000)+2578100</f>
        <v>84578100</v>
      </c>
      <c r="EV10" s="229">
        <v>177307013</v>
      </c>
      <c r="EW10" s="229">
        <v>159787286</v>
      </c>
      <c r="EX10" s="229">
        <v>27600000</v>
      </c>
      <c r="EY10" s="229">
        <v>28925610</v>
      </c>
      <c r="EZ10" s="229">
        <v>21829880</v>
      </c>
      <c r="FA10" s="229">
        <f>+(42500000)+254000+1905</f>
        <v>42755905</v>
      </c>
      <c r="FB10" s="229">
        <v>49171405</v>
      </c>
      <c r="FC10" s="229">
        <v>45208852</v>
      </c>
      <c r="FD10" s="229">
        <v>2000000</v>
      </c>
      <c r="FE10" s="229">
        <f>2000000-57340+9214</f>
        <v>1951874</v>
      </c>
      <c r="FF10" s="229">
        <v>656986</v>
      </c>
      <c r="FG10" s="240">
        <f>(35672700)+50432+108612+120794+139700</f>
        <v>36092238</v>
      </c>
      <c r="FH10" s="240">
        <v>50423891</v>
      </c>
      <c r="FI10" s="240">
        <v>36787160</v>
      </c>
      <c r="FJ10" s="240">
        <v>13000000</v>
      </c>
      <c r="FK10" s="240">
        <f>13000000+9534+3675406+1073311+10000-96520+96520</f>
        <v>17768251</v>
      </c>
      <c r="FL10" s="240">
        <v>17768251</v>
      </c>
      <c r="FM10" s="229">
        <v>24000000</v>
      </c>
      <c r="FN10" s="229">
        <v>24000000</v>
      </c>
      <c r="FO10" s="229">
        <v>23724660</v>
      </c>
      <c r="FP10" s="229">
        <v>2000000</v>
      </c>
      <c r="FQ10" s="229">
        <v>2200000</v>
      </c>
      <c r="FR10" s="229">
        <v>2188901</v>
      </c>
      <c r="FS10" s="229">
        <v>500000</v>
      </c>
      <c r="FT10" s="229">
        <f>500000+72000</f>
        <v>572000</v>
      </c>
      <c r="FU10" s="229">
        <v>372000</v>
      </c>
      <c r="FV10" s="229">
        <v>3840000</v>
      </c>
      <c r="FW10" s="229">
        <v>4160000</v>
      </c>
      <c r="FX10" s="229">
        <v>3789988</v>
      </c>
      <c r="FY10" s="229"/>
      <c r="FZ10" s="229"/>
      <c r="GA10" s="229"/>
      <c r="GB10" s="229"/>
      <c r="GC10" s="229"/>
      <c r="GD10" s="229"/>
      <c r="GE10" s="229"/>
      <c r="GF10" s="229">
        <f>1537730+5206356+240200+64854</f>
        <v>7049140</v>
      </c>
      <c r="GG10" s="229">
        <v>7049140</v>
      </c>
      <c r="GH10" s="229"/>
      <c r="GI10" s="229">
        <v>0</v>
      </c>
      <c r="GJ10" s="229"/>
      <c r="GK10" s="229"/>
      <c r="GL10" s="229">
        <v>1626378</v>
      </c>
      <c r="GM10" s="229"/>
      <c r="GN10" s="229"/>
      <c r="GO10" s="229">
        <f>164300+44361</f>
        <v>208661</v>
      </c>
      <c r="GP10" s="229">
        <v>208661</v>
      </c>
      <c r="GQ10" s="229"/>
      <c r="GR10" s="229">
        <v>0</v>
      </c>
      <c r="GS10" s="229"/>
      <c r="GT10" s="229"/>
      <c r="GU10" s="229">
        <v>9347819</v>
      </c>
      <c r="GV10" s="229"/>
      <c r="GW10" s="229">
        <f>(800000+800000+800000+1200000)+100000</f>
        <v>3700000</v>
      </c>
      <c r="GX10" s="229">
        <v>4080570</v>
      </c>
      <c r="GY10" s="229">
        <v>3880358</v>
      </c>
      <c r="GZ10" s="229">
        <f>2500000+240000</f>
        <v>2740000</v>
      </c>
      <c r="HA10" s="229">
        <f>2500000+240000</f>
        <v>2740000</v>
      </c>
      <c r="HB10" s="229">
        <v>1497659</v>
      </c>
      <c r="HC10" s="229">
        <v>3360000</v>
      </c>
      <c r="HD10" s="229">
        <f>3360000+18613</f>
        <v>3378613</v>
      </c>
      <c r="HE10" s="229">
        <v>2345513</v>
      </c>
      <c r="HF10" s="229">
        <f>+(1000000)+1000000</f>
        <v>2000000</v>
      </c>
      <c r="HG10" s="229">
        <f>+(1000000)+1000000</f>
        <v>2000000</v>
      </c>
      <c r="HH10" s="229">
        <v>1500000</v>
      </c>
      <c r="HI10" s="229">
        <f>+(7400000)+855800</f>
        <v>8255800</v>
      </c>
      <c r="HJ10" s="229">
        <f>+(7400000)+855800</f>
        <v>8255800</v>
      </c>
      <c r="HK10" s="229">
        <v>6226550</v>
      </c>
      <c r="HL10" s="229">
        <v>1000000</v>
      </c>
      <c r="HM10" s="229">
        <v>1000000</v>
      </c>
      <c r="HN10" s="229">
        <v>653557</v>
      </c>
      <c r="HO10" s="229">
        <v>5000000</v>
      </c>
      <c r="HP10" s="229">
        <v>5000000</v>
      </c>
      <c r="HQ10" s="229">
        <v>2071000</v>
      </c>
      <c r="HR10" s="229"/>
      <c r="HS10" s="229"/>
      <c r="HT10" s="229"/>
      <c r="HU10" s="229"/>
      <c r="HV10" s="229"/>
      <c r="HW10" s="229"/>
      <c r="HX10" s="229"/>
      <c r="HY10" s="229"/>
      <c r="HZ10" s="229"/>
      <c r="IA10" s="229"/>
      <c r="IB10" s="229"/>
      <c r="IC10" s="229"/>
      <c r="ID10" s="229"/>
      <c r="IE10" s="229"/>
      <c r="IF10" s="229"/>
      <c r="IG10" s="229"/>
      <c r="IH10" s="229"/>
      <c r="II10" s="229"/>
      <c r="IJ10" s="229"/>
      <c r="IK10" s="229"/>
      <c r="IL10" s="229"/>
      <c r="IM10" s="229"/>
      <c r="IN10" s="229"/>
      <c r="IO10" s="229">
        <v>3000000</v>
      </c>
      <c r="IP10" s="229">
        <v>12283876</v>
      </c>
      <c r="IQ10" s="229">
        <v>12135691</v>
      </c>
      <c r="IR10" s="229"/>
      <c r="IS10" s="229"/>
      <c r="IT10" s="229"/>
      <c r="IU10" s="229">
        <f>10000000+11529356+176189566+642944250+2328805</f>
        <v>842991977</v>
      </c>
      <c r="IV10" s="229">
        <v>914397335</v>
      </c>
      <c r="IW10" s="229">
        <v>914397335</v>
      </c>
      <c r="IX10" s="229"/>
      <c r="IY10" s="229"/>
      <c r="IZ10" s="229"/>
      <c r="JA10" s="229"/>
      <c r="JB10" s="229"/>
      <c r="JC10" s="229"/>
      <c r="JD10" s="229"/>
      <c r="JE10" s="229"/>
      <c r="JF10" s="229"/>
      <c r="JG10" s="229"/>
      <c r="JH10" s="229">
        <v>80000</v>
      </c>
      <c r="JI10" s="229">
        <v>80000</v>
      </c>
      <c r="JJ10" s="229"/>
      <c r="JK10" s="229"/>
      <c r="JL10" s="229"/>
      <c r="JM10" s="229"/>
      <c r="JN10" s="229">
        <v>15000</v>
      </c>
      <c r="JO10" s="229">
        <v>15000</v>
      </c>
      <c r="JP10" s="229">
        <v>7000000</v>
      </c>
      <c r="JQ10" s="229">
        <f>7000000-46101+36300+9801</f>
        <v>7000000</v>
      </c>
      <c r="JR10" s="229">
        <v>2446101</v>
      </c>
      <c r="JS10" s="241"/>
      <c r="JT10" s="241"/>
      <c r="JU10" s="241"/>
      <c r="JV10" s="240">
        <v>5000000</v>
      </c>
      <c r="JW10" s="240">
        <v>5000000</v>
      </c>
      <c r="JX10" s="240">
        <v>347321</v>
      </c>
      <c r="JY10" s="240">
        <v>14342440</v>
      </c>
      <c r="JZ10" s="240">
        <v>135109829</v>
      </c>
      <c r="KA10" s="240">
        <v>3810000</v>
      </c>
      <c r="KB10" s="240"/>
      <c r="KC10" s="240">
        <v>1529309</v>
      </c>
      <c r="KD10" s="240">
        <v>1393199</v>
      </c>
      <c r="KE10" s="240"/>
      <c r="KF10" s="240"/>
      <c r="KG10" s="240"/>
      <c r="KH10" s="240"/>
      <c r="KI10" s="240"/>
      <c r="KJ10" s="240"/>
      <c r="KK10" s="240"/>
      <c r="KL10" s="240"/>
      <c r="KM10" s="240"/>
      <c r="KN10" s="240"/>
      <c r="KO10" s="240">
        <v>104744111</v>
      </c>
      <c r="KP10" s="240">
        <v>81726579</v>
      </c>
      <c r="KQ10" s="240"/>
      <c r="KR10" s="240">
        <v>2945617</v>
      </c>
      <c r="KS10" s="240">
        <v>2613022</v>
      </c>
      <c r="KT10" s="240"/>
      <c r="KU10" s="240"/>
      <c r="KV10" s="240"/>
      <c r="KW10" s="229"/>
      <c r="KX10" s="229"/>
      <c r="KY10" s="229"/>
      <c r="KZ10" s="229">
        <v>330331</v>
      </c>
      <c r="LA10" s="229">
        <v>330331</v>
      </c>
      <c r="LB10" s="229">
        <v>330331</v>
      </c>
      <c r="LC10" s="229"/>
      <c r="LD10" s="229"/>
      <c r="LE10" s="229"/>
      <c r="LF10" s="229"/>
      <c r="LG10" s="229">
        <f>5905000+1594350</f>
        <v>7499350</v>
      </c>
      <c r="LH10" s="229">
        <v>7499350</v>
      </c>
      <c r="LI10" s="229"/>
      <c r="LJ10" s="229"/>
      <c r="LK10" s="229"/>
      <c r="LL10" s="229"/>
      <c r="LM10" s="229"/>
      <c r="LN10" s="229"/>
      <c r="LO10" s="229"/>
      <c r="LP10" s="229"/>
      <c r="LQ10" s="229"/>
      <c r="LR10" s="229"/>
      <c r="LS10" s="229">
        <v>4000000</v>
      </c>
      <c r="LT10" s="229">
        <v>800000</v>
      </c>
      <c r="LU10" s="229"/>
      <c r="LV10" s="229"/>
      <c r="LW10" s="229"/>
      <c r="LX10" s="229"/>
      <c r="LY10" s="229"/>
      <c r="LZ10" s="229"/>
      <c r="MA10" s="229"/>
      <c r="MB10" s="229">
        <v>355600</v>
      </c>
      <c r="MC10" s="229">
        <v>355600</v>
      </c>
      <c r="MD10" s="229"/>
      <c r="ME10" s="229">
        <f>92126+24874+92126+24874</f>
        <v>234000</v>
      </c>
      <c r="MF10" s="229">
        <v>234000</v>
      </c>
      <c r="MG10" s="229"/>
      <c r="MH10" s="229"/>
      <c r="MI10" s="229"/>
      <c r="MJ10" s="229"/>
      <c r="MK10" s="229">
        <f>450000+121500</f>
        <v>571500</v>
      </c>
      <c r="ML10" s="229">
        <v>571500</v>
      </c>
      <c r="MM10" s="229"/>
      <c r="MN10" s="229"/>
      <c r="MO10" s="229"/>
      <c r="MP10" s="229"/>
      <c r="MQ10" s="229">
        <v>500000</v>
      </c>
      <c r="MR10" s="229">
        <v>500000</v>
      </c>
      <c r="MS10" s="229"/>
      <c r="MT10" s="229">
        <v>1181000</v>
      </c>
      <c r="MU10" s="229">
        <v>1181000</v>
      </c>
      <c r="MV10" s="229"/>
      <c r="MW10" s="229"/>
      <c r="MX10" s="229"/>
      <c r="MY10" s="663">
        <f>+E10+H10+K10+Q10++T10+W10+Z10+AC10+AF10+AO10+AR10+AU10+AX10+BA10+BD10+BG10+BJ10+BM10+BV10+BY10+CB10+CE10+CH10+CK10+CN10+CQ10+CT10+DC10+DF10+DI10+DL10+DR10+EA10+ED10+EG10+EJ10+EM10+EP10+ES10+EV10+FN10+FT10+GC10+GF10+GI10+GO10+GR10+HJ10+HM10+HP10+IM10+IJ10+IV10+IY10+JE10+JH10+JK10+JN10+JT10+JZ10+KC10+LA10+LD10+LG10+LJ10+LM10+LP10+LS10+LV10+ME10+MH10+MQ10+MT10+GL10+GU10+JW10</f>
        <v>2372600856</v>
      </c>
      <c r="MZ10" s="663">
        <f>+F10+I10+L10+R10++U10+X10+AA10+AD10+AG10+AP10+AS10+AV10+AY10+BB10+BE10+BH10+BK10+BN10+BW10+BZ10+CC10+CF10+CI10+CL10+CO10+CR10+CU10+DD10+DG10+DJ10+DM10+DS10+EB10+EE10+EH10+EK10+EN10+EQ10+ET10+EW10+FO10+FU10+GD10+GG10+GJ10+GP10+GS10+HK10+HN10+HQ10+IN10+IK10+IW10+IZ10+JF10+JI10+JL10+JO10+JU10+KA10+KD10+LB10+LE10+LH10+LK10+LN10+LQ10+LT10+LW10+MF10+MI10+MR10+MU10+GM10+GV10+JX10</f>
        <v>2043878849</v>
      </c>
      <c r="NA10" s="663">
        <f>+N10+AI10+AL10+BP10+BS10+CW10+CZ10+DO10+DU10+DX10+EY10+FB10+FE10+FH10+FK10+FZ10+GX10+HA10+HD10+HG10+HS10+HV10+HY10+IB10+IE10+IP10+IS10+JB10+JQ10+KF10+KI10+KL10+KO10+KR10+KX10+LY10+MB10+MK10+MN10+FQ10+FW10</f>
        <v>345114364</v>
      </c>
      <c r="NB10" s="663">
        <f>+O10+AJ10+AM10+BQ10+BT10+CX10+DA10+DP10+DV10+DY10+EZ10+FC10+FF10+FI10+FL10+GA10+GY10+HB10+HE10+HH10+HT10+HW10+HZ10+IC10+IF10+IQ10+IT10+JC10+JR10+KG10+KJ10+KM10+KP10+KS10+KY10+LZ10+MC10+ML10+MO10+FX10+FR10</f>
        <v>278046687</v>
      </c>
      <c r="NC10" s="663"/>
      <c r="ND10" s="244">
        <v>1288029137</v>
      </c>
      <c r="NE10" s="244" t="e">
        <f>+ND10-#REF!</f>
        <v>#REF!</v>
      </c>
    </row>
    <row r="11" spans="1:369" ht="21.75" customHeight="1" x14ac:dyDescent="0.25">
      <c r="A11" s="208" t="s">
        <v>194</v>
      </c>
      <c r="B11" s="217" t="s">
        <v>332</v>
      </c>
      <c r="C11" s="210" t="s">
        <v>206</v>
      </c>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41"/>
      <c r="DL11" s="241"/>
      <c r="DM11" s="241"/>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41"/>
      <c r="FH11" s="241"/>
      <c r="FI11" s="241"/>
      <c r="FJ11" s="241"/>
      <c r="FK11" s="241"/>
      <c r="FL11" s="241"/>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c r="GQ11" s="229"/>
      <c r="GR11" s="229"/>
      <c r="GS11" s="229"/>
      <c r="GT11" s="229"/>
      <c r="GU11" s="229"/>
      <c r="GV11" s="229"/>
      <c r="GW11" s="229"/>
      <c r="GX11" s="229"/>
      <c r="GY11" s="229"/>
      <c r="GZ11" s="229"/>
      <c r="HA11" s="229"/>
      <c r="HB11" s="229"/>
      <c r="HC11" s="229"/>
      <c r="HD11" s="229"/>
      <c r="HE11" s="229"/>
      <c r="HF11" s="229"/>
      <c r="HG11" s="229"/>
      <c r="HH11" s="229"/>
      <c r="HI11" s="229"/>
      <c r="HJ11" s="229"/>
      <c r="HK11" s="229"/>
      <c r="HL11" s="229"/>
      <c r="HM11" s="229"/>
      <c r="HN11" s="229"/>
      <c r="HO11" s="229"/>
      <c r="HP11" s="229"/>
      <c r="HQ11" s="229"/>
      <c r="HR11" s="229"/>
      <c r="HS11" s="229"/>
      <c r="HT11" s="229"/>
      <c r="HU11" s="229"/>
      <c r="HV11" s="229"/>
      <c r="HW11" s="229"/>
      <c r="HX11" s="229"/>
      <c r="HY11" s="229"/>
      <c r="HZ11" s="229"/>
      <c r="IA11" s="229"/>
      <c r="IB11" s="229"/>
      <c r="IC11" s="229"/>
      <c r="ID11" s="229"/>
      <c r="IE11" s="229"/>
      <c r="IF11" s="229"/>
      <c r="IG11" s="229"/>
      <c r="IH11" s="229"/>
      <c r="II11" s="229"/>
      <c r="IJ11" s="229"/>
      <c r="IK11" s="229"/>
      <c r="IL11" s="229"/>
      <c r="IM11" s="229"/>
      <c r="IN11" s="229"/>
      <c r="IO11" s="229"/>
      <c r="IP11" s="229"/>
      <c r="IQ11" s="229"/>
      <c r="IR11" s="229"/>
      <c r="IS11" s="229"/>
      <c r="IT11" s="229"/>
      <c r="IU11" s="229"/>
      <c r="IV11" s="229"/>
      <c r="IW11" s="229"/>
      <c r="IX11" s="229"/>
      <c r="IY11" s="229"/>
      <c r="IZ11" s="229"/>
      <c r="JA11" s="229"/>
      <c r="JB11" s="229"/>
      <c r="JC11" s="229"/>
      <c r="JD11" s="229"/>
      <c r="JE11" s="229"/>
      <c r="JF11" s="229"/>
      <c r="JG11" s="229"/>
      <c r="JH11" s="229"/>
      <c r="JI11" s="229"/>
      <c r="JJ11" s="229"/>
      <c r="JK11" s="229"/>
      <c r="JL11" s="229"/>
      <c r="JM11" s="229"/>
      <c r="JN11" s="229"/>
      <c r="JO11" s="229"/>
      <c r="JP11" s="229"/>
      <c r="JQ11" s="229"/>
      <c r="JR11" s="229"/>
      <c r="JS11" s="241"/>
      <c r="JT11" s="241"/>
      <c r="JU11" s="241"/>
      <c r="JV11" s="241"/>
      <c r="JW11" s="241"/>
      <c r="JX11" s="241"/>
      <c r="JY11" s="241"/>
      <c r="JZ11" s="241"/>
      <c r="KA11" s="241"/>
      <c r="KB11" s="241"/>
      <c r="KC11" s="241"/>
      <c r="KD11" s="241"/>
      <c r="KE11" s="241"/>
      <c r="KF11" s="241"/>
      <c r="KG11" s="241"/>
      <c r="KH11" s="241"/>
      <c r="KI11" s="241"/>
      <c r="KJ11" s="241"/>
      <c r="KK11" s="241"/>
      <c r="KL11" s="241"/>
      <c r="KM11" s="241"/>
      <c r="KN11" s="241"/>
      <c r="KO11" s="241"/>
      <c r="KP11" s="241"/>
      <c r="KQ11" s="241"/>
      <c r="KR11" s="241"/>
      <c r="KS11" s="241"/>
      <c r="KT11" s="241"/>
      <c r="KU11" s="241"/>
      <c r="KV11" s="241"/>
      <c r="KW11" s="229"/>
      <c r="KX11" s="229"/>
      <c r="KY11" s="229"/>
      <c r="KZ11" s="229"/>
      <c r="LA11" s="229"/>
      <c r="LB11" s="229"/>
      <c r="LC11" s="229"/>
      <c r="LD11" s="229"/>
      <c r="LE11" s="229"/>
      <c r="LF11" s="229"/>
      <c r="LG11" s="229"/>
      <c r="LH11" s="229"/>
      <c r="LI11" s="229"/>
      <c r="LJ11" s="229"/>
      <c r="LK11" s="229"/>
      <c r="LL11" s="229"/>
      <c r="LM11" s="229"/>
      <c r="LN11" s="229"/>
      <c r="LO11" s="229"/>
      <c r="LP11" s="229"/>
      <c r="LQ11" s="229"/>
      <c r="LR11" s="229"/>
      <c r="LS11" s="229"/>
      <c r="LT11" s="229"/>
      <c r="LU11" s="229"/>
      <c r="LV11" s="229"/>
      <c r="LW11" s="229"/>
      <c r="LX11" s="229"/>
      <c r="LY11" s="229"/>
      <c r="LZ11" s="229"/>
      <c r="MA11" s="229"/>
      <c r="MB11" s="229"/>
      <c r="MC11" s="229"/>
      <c r="MD11" s="229"/>
      <c r="ME11" s="229"/>
      <c r="MF11" s="229"/>
      <c r="MG11" s="229"/>
      <c r="MH11" s="229"/>
      <c r="MI11" s="229"/>
      <c r="MJ11" s="229"/>
      <c r="MK11" s="229"/>
      <c r="ML11" s="229"/>
      <c r="MM11" s="229"/>
      <c r="MN11" s="229"/>
      <c r="MO11" s="229"/>
      <c r="MP11" s="229"/>
      <c r="MQ11" s="229"/>
      <c r="MR11" s="229"/>
      <c r="MS11" s="229"/>
      <c r="MT11" s="229"/>
      <c r="MU11" s="229"/>
      <c r="MV11" s="229"/>
      <c r="MW11" s="229"/>
      <c r="MX11" s="229"/>
      <c r="MY11" s="663">
        <f t="shared" si="0"/>
        <v>0</v>
      </c>
      <c r="MZ11" s="663">
        <f t="shared" si="1"/>
        <v>0</v>
      </c>
      <c r="NA11" s="663">
        <f t="shared" ref="NA11:NA50" si="2">+N11+AI11+AL11+BP11+BS11+CW11+CZ11+DO11+DU11+DX11+EY11+FB11+FE11+FH11+FK11+FZ11+GX11+HA11+HD11+HG11+HS11+HV11+HY11+IB11+IE11+IP11+IS11+JB11+JQ11+KF11+KI11+KL11+KO11+KR11+KX11+LY11+MB11+MK11+MN11</f>
        <v>0</v>
      </c>
      <c r="NB11" s="663">
        <f t="shared" ref="NB11:NB49" si="3">+O11+AJ11+AM11+BQ11+BT11+CX11+DA11+DP11+DV11+DY11+EZ11+FC11+FF11+FI11+FL11+GA11+GY11+HB11+HE11+HH11+HT11+HW11+HZ11+IC11+IF11+IQ11+IT11+JC11+JR11+KG11+KJ11+KM11+KP11+KS11+KY11+LZ11+MC11+ML11+MO11+FX11+FR11</f>
        <v>0</v>
      </c>
      <c r="NC11" s="663"/>
      <c r="ND11" s="204">
        <v>43456000</v>
      </c>
      <c r="NE11" s="213" t="e">
        <f>+ND11-#REF!</f>
        <v>#REF!</v>
      </c>
    </row>
    <row r="12" spans="1:369" ht="21.75" customHeight="1" x14ac:dyDescent="0.25">
      <c r="A12" s="208" t="s">
        <v>195</v>
      </c>
      <c r="B12" s="217" t="s">
        <v>237</v>
      </c>
      <c r="C12" s="210" t="s">
        <v>207</v>
      </c>
      <c r="D12" s="229">
        <f>+D13+D14+D15</f>
        <v>0</v>
      </c>
      <c r="E12" s="229">
        <f t="shared" ref="E12:BP12" si="4">+E13+E14+E15</f>
        <v>0</v>
      </c>
      <c r="F12" s="229">
        <f t="shared" si="4"/>
        <v>0</v>
      </c>
      <c r="G12" s="229">
        <f t="shared" si="4"/>
        <v>0</v>
      </c>
      <c r="H12" s="229">
        <f t="shared" si="4"/>
        <v>0</v>
      </c>
      <c r="I12" s="229">
        <f t="shared" si="4"/>
        <v>0</v>
      </c>
      <c r="J12" s="229">
        <f t="shared" si="4"/>
        <v>0</v>
      </c>
      <c r="K12" s="229">
        <f t="shared" si="4"/>
        <v>0</v>
      </c>
      <c r="L12" s="229">
        <f t="shared" si="4"/>
        <v>0</v>
      </c>
      <c r="M12" s="229">
        <f t="shared" si="4"/>
        <v>0</v>
      </c>
      <c r="N12" s="229">
        <f t="shared" si="4"/>
        <v>0</v>
      </c>
      <c r="O12" s="229">
        <f t="shared" si="4"/>
        <v>0</v>
      </c>
      <c r="P12" s="229">
        <f t="shared" si="4"/>
        <v>0</v>
      </c>
      <c r="Q12" s="229">
        <f t="shared" si="4"/>
        <v>0</v>
      </c>
      <c r="R12" s="229">
        <f t="shared" si="4"/>
        <v>0</v>
      </c>
      <c r="S12" s="229">
        <f t="shared" si="4"/>
        <v>0</v>
      </c>
      <c r="T12" s="229">
        <f t="shared" si="4"/>
        <v>0</v>
      </c>
      <c r="U12" s="229">
        <f t="shared" si="4"/>
        <v>0</v>
      </c>
      <c r="V12" s="229">
        <f t="shared" si="4"/>
        <v>0</v>
      </c>
      <c r="W12" s="229">
        <f t="shared" si="4"/>
        <v>0</v>
      </c>
      <c r="X12" s="229">
        <f t="shared" si="4"/>
        <v>0</v>
      </c>
      <c r="Y12" s="229">
        <f t="shared" si="4"/>
        <v>0</v>
      </c>
      <c r="Z12" s="229">
        <f t="shared" si="4"/>
        <v>0</v>
      </c>
      <c r="AA12" s="229">
        <f t="shared" si="4"/>
        <v>0</v>
      </c>
      <c r="AB12" s="229">
        <f t="shared" si="4"/>
        <v>0</v>
      </c>
      <c r="AC12" s="229">
        <f t="shared" si="4"/>
        <v>0</v>
      </c>
      <c r="AD12" s="229">
        <f t="shared" si="4"/>
        <v>0</v>
      </c>
      <c r="AE12" s="229">
        <f t="shared" si="4"/>
        <v>0</v>
      </c>
      <c r="AF12" s="229">
        <f t="shared" si="4"/>
        <v>0</v>
      </c>
      <c r="AG12" s="229">
        <f t="shared" si="4"/>
        <v>0</v>
      </c>
      <c r="AH12" s="229">
        <f t="shared" si="4"/>
        <v>0</v>
      </c>
      <c r="AI12" s="229">
        <f t="shared" si="4"/>
        <v>0</v>
      </c>
      <c r="AJ12" s="229">
        <f t="shared" si="4"/>
        <v>0</v>
      </c>
      <c r="AK12" s="229">
        <f t="shared" si="4"/>
        <v>0</v>
      </c>
      <c r="AL12" s="229">
        <f t="shared" si="4"/>
        <v>0</v>
      </c>
      <c r="AM12" s="229">
        <f t="shared" si="4"/>
        <v>0</v>
      </c>
      <c r="AN12" s="229">
        <f t="shared" si="4"/>
        <v>0</v>
      </c>
      <c r="AO12" s="229">
        <f t="shared" si="4"/>
        <v>0</v>
      </c>
      <c r="AP12" s="229">
        <f t="shared" si="4"/>
        <v>0</v>
      </c>
      <c r="AQ12" s="229">
        <f t="shared" si="4"/>
        <v>0</v>
      </c>
      <c r="AR12" s="229">
        <f t="shared" si="4"/>
        <v>0</v>
      </c>
      <c r="AS12" s="229">
        <f t="shared" si="4"/>
        <v>0</v>
      </c>
      <c r="AT12" s="229">
        <f t="shared" si="4"/>
        <v>0</v>
      </c>
      <c r="AU12" s="229">
        <f t="shared" si="4"/>
        <v>0</v>
      </c>
      <c r="AV12" s="229">
        <f t="shared" si="4"/>
        <v>0</v>
      </c>
      <c r="AW12" s="229">
        <f t="shared" si="4"/>
        <v>0</v>
      </c>
      <c r="AX12" s="229">
        <f t="shared" si="4"/>
        <v>0</v>
      </c>
      <c r="AY12" s="229">
        <f t="shared" si="4"/>
        <v>0</v>
      </c>
      <c r="AZ12" s="229">
        <f t="shared" si="4"/>
        <v>0</v>
      </c>
      <c r="BA12" s="229">
        <f t="shared" si="4"/>
        <v>0</v>
      </c>
      <c r="BB12" s="229">
        <f t="shared" si="4"/>
        <v>0</v>
      </c>
      <c r="BC12" s="229">
        <f t="shared" si="4"/>
        <v>0</v>
      </c>
      <c r="BD12" s="229">
        <f t="shared" si="4"/>
        <v>0</v>
      </c>
      <c r="BE12" s="229">
        <f t="shared" si="4"/>
        <v>0</v>
      </c>
      <c r="BF12" s="229">
        <f t="shared" si="4"/>
        <v>0</v>
      </c>
      <c r="BG12" s="229">
        <f t="shared" si="4"/>
        <v>0</v>
      </c>
      <c r="BH12" s="229">
        <f t="shared" si="4"/>
        <v>0</v>
      </c>
      <c r="BI12" s="229">
        <f t="shared" si="4"/>
        <v>0</v>
      </c>
      <c r="BJ12" s="229">
        <f t="shared" si="4"/>
        <v>0</v>
      </c>
      <c r="BK12" s="229">
        <f t="shared" si="4"/>
        <v>0</v>
      </c>
      <c r="BL12" s="229">
        <f t="shared" si="4"/>
        <v>0</v>
      </c>
      <c r="BM12" s="229">
        <f t="shared" si="4"/>
        <v>0</v>
      </c>
      <c r="BN12" s="229">
        <f t="shared" si="4"/>
        <v>0</v>
      </c>
      <c r="BO12" s="229">
        <f t="shared" si="4"/>
        <v>0</v>
      </c>
      <c r="BP12" s="229">
        <f t="shared" si="4"/>
        <v>0</v>
      </c>
      <c r="BQ12" s="229">
        <f t="shared" ref="BQ12:EB12" si="5">+BQ13+BQ14+BQ15</f>
        <v>0</v>
      </c>
      <c r="BR12" s="229">
        <f t="shared" si="5"/>
        <v>0</v>
      </c>
      <c r="BS12" s="229">
        <f t="shared" si="5"/>
        <v>0</v>
      </c>
      <c r="BT12" s="229">
        <f t="shared" si="5"/>
        <v>0</v>
      </c>
      <c r="BU12" s="229">
        <f t="shared" si="5"/>
        <v>0</v>
      </c>
      <c r="BV12" s="229">
        <f t="shared" si="5"/>
        <v>0</v>
      </c>
      <c r="BW12" s="229">
        <f t="shared" si="5"/>
        <v>0</v>
      </c>
      <c r="BX12" s="229">
        <f t="shared" si="5"/>
        <v>0</v>
      </c>
      <c r="BY12" s="229">
        <f t="shared" si="5"/>
        <v>0</v>
      </c>
      <c r="BZ12" s="229">
        <f t="shared" si="5"/>
        <v>0</v>
      </c>
      <c r="CA12" s="229">
        <f t="shared" si="5"/>
        <v>0</v>
      </c>
      <c r="CB12" s="229">
        <f t="shared" si="5"/>
        <v>0</v>
      </c>
      <c r="CC12" s="229">
        <f t="shared" si="5"/>
        <v>0</v>
      </c>
      <c r="CD12" s="229">
        <f t="shared" si="5"/>
        <v>0</v>
      </c>
      <c r="CE12" s="229">
        <f t="shared" si="5"/>
        <v>0</v>
      </c>
      <c r="CF12" s="229">
        <f t="shared" si="5"/>
        <v>0</v>
      </c>
      <c r="CG12" s="229">
        <f t="shared" si="5"/>
        <v>0</v>
      </c>
      <c r="CH12" s="229">
        <f t="shared" si="5"/>
        <v>0</v>
      </c>
      <c r="CI12" s="229">
        <f t="shared" si="5"/>
        <v>0</v>
      </c>
      <c r="CJ12" s="229">
        <f t="shared" si="5"/>
        <v>0</v>
      </c>
      <c r="CK12" s="229">
        <f t="shared" si="5"/>
        <v>0</v>
      </c>
      <c r="CL12" s="229">
        <f t="shared" si="5"/>
        <v>0</v>
      </c>
      <c r="CM12" s="229">
        <f t="shared" si="5"/>
        <v>0</v>
      </c>
      <c r="CN12" s="229">
        <f t="shared" si="5"/>
        <v>0</v>
      </c>
      <c r="CO12" s="229">
        <f t="shared" si="5"/>
        <v>0</v>
      </c>
      <c r="CP12" s="229">
        <f t="shared" si="5"/>
        <v>0</v>
      </c>
      <c r="CQ12" s="229">
        <f t="shared" si="5"/>
        <v>0</v>
      </c>
      <c r="CR12" s="229">
        <f t="shared" si="5"/>
        <v>0</v>
      </c>
      <c r="CS12" s="229">
        <f t="shared" si="5"/>
        <v>0</v>
      </c>
      <c r="CT12" s="229">
        <f t="shared" si="5"/>
        <v>600000</v>
      </c>
      <c r="CU12" s="229">
        <f t="shared" si="5"/>
        <v>600000</v>
      </c>
      <c r="CV12" s="229">
        <f t="shared" si="5"/>
        <v>0</v>
      </c>
      <c r="CW12" s="229">
        <f t="shared" si="5"/>
        <v>0</v>
      </c>
      <c r="CX12" s="229">
        <f t="shared" si="5"/>
        <v>0</v>
      </c>
      <c r="CY12" s="229">
        <f t="shared" si="5"/>
        <v>0</v>
      </c>
      <c r="CZ12" s="229">
        <f t="shared" si="5"/>
        <v>0</v>
      </c>
      <c r="DA12" s="229">
        <f t="shared" si="5"/>
        <v>0</v>
      </c>
      <c r="DB12" s="229">
        <f t="shared" si="5"/>
        <v>0</v>
      </c>
      <c r="DC12" s="229">
        <f t="shared" si="5"/>
        <v>0</v>
      </c>
      <c r="DD12" s="229">
        <f t="shared" si="5"/>
        <v>0</v>
      </c>
      <c r="DE12" s="229">
        <f t="shared" si="5"/>
        <v>0</v>
      </c>
      <c r="DF12" s="229">
        <f t="shared" si="5"/>
        <v>0</v>
      </c>
      <c r="DG12" s="229">
        <f t="shared" si="5"/>
        <v>0</v>
      </c>
      <c r="DH12" s="229">
        <f t="shared" si="5"/>
        <v>0</v>
      </c>
      <c r="DI12" s="229">
        <f t="shared" si="5"/>
        <v>0</v>
      </c>
      <c r="DJ12" s="229">
        <f t="shared" si="5"/>
        <v>0</v>
      </c>
      <c r="DK12" s="229">
        <f t="shared" si="5"/>
        <v>0</v>
      </c>
      <c r="DL12" s="229">
        <f t="shared" si="5"/>
        <v>0</v>
      </c>
      <c r="DM12" s="229">
        <f t="shared" si="5"/>
        <v>0</v>
      </c>
      <c r="DN12" s="229">
        <f t="shared" si="5"/>
        <v>0</v>
      </c>
      <c r="DO12" s="229">
        <f t="shared" si="5"/>
        <v>0</v>
      </c>
      <c r="DP12" s="229">
        <f t="shared" si="5"/>
        <v>0</v>
      </c>
      <c r="DQ12" s="229">
        <f t="shared" si="5"/>
        <v>0</v>
      </c>
      <c r="DR12" s="229">
        <f t="shared" si="5"/>
        <v>0</v>
      </c>
      <c r="DS12" s="229">
        <f t="shared" si="5"/>
        <v>0</v>
      </c>
      <c r="DT12" s="229">
        <f t="shared" si="5"/>
        <v>0</v>
      </c>
      <c r="DU12" s="229">
        <f t="shared" si="5"/>
        <v>0</v>
      </c>
      <c r="DV12" s="229">
        <f t="shared" si="5"/>
        <v>0</v>
      </c>
      <c r="DW12" s="229">
        <f t="shared" si="5"/>
        <v>0</v>
      </c>
      <c r="DX12" s="229">
        <f t="shared" si="5"/>
        <v>0</v>
      </c>
      <c r="DY12" s="229">
        <f t="shared" si="5"/>
        <v>0</v>
      </c>
      <c r="DZ12" s="229">
        <f t="shared" si="5"/>
        <v>0</v>
      </c>
      <c r="EA12" s="229">
        <f t="shared" si="5"/>
        <v>0</v>
      </c>
      <c r="EB12" s="229">
        <f t="shared" si="5"/>
        <v>0</v>
      </c>
      <c r="EC12" s="229">
        <f t="shared" ref="EC12:GQ12" si="6">+EC13+EC14+EC15</f>
        <v>0</v>
      </c>
      <c r="ED12" s="229">
        <f t="shared" si="6"/>
        <v>0</v>
      </c>
      <c r="EE12" s="229">
        <f t="shared" si="6"/>
        <v>0</v>
      </c>
      <c r="EF12" s="229">
        <f t="shared" si="6"/>
        <v>0</v>
      </c>
      <c r="EG12" s="229">
        <f t="shared" si="6"/>
        <v>0</v>
      </c>
      <c r="EH12" s="229">
        <f t="shared" si="6"/>
        <v>0</v>
      </c>
      <c r="EI12" s="229">
        <f t="shared" si="6"/>
        <v>0</v>
      </c>
      <c r="EJ12" s="229">
        <f t="shared" si="6"/>
        <v>0</v>
      </c>
      <c r="EK12" s="229">
        <f t="shared" si="6"/>
        <v>0</v>
      </c>
      <c r="EL12" s="229">
        <f t="shared" si="6"/>
        <v>0</v>
      </c>
      <c r="EM12" s="229">
        <f t="shared" si="6"/>
        <v>0</v>
      </c>
      <c r="EN12" s="229">
        <f t="shared" si="6"/>
        <v>0</v>
      </c>
      <c r="EO12" s="229">
        <f t="shared" si="6"/>
        <v>0</v>
      </c>
      <c r="EP12" s="229">
        <f t="shared" si="6"/>
        <v>0</v>
      </c>
      <c r="EQ12" s="229">
        <f t="shared" si="6"/>
        <v>0</v>
      </c>
      <c r="ER12" s="229">
        <f t="shared" si="6"/>
        <v>0</v>
      </c>
      <c r="ES12" s="229">
        <f t="shared" si="6"/>
        <v>0</v>
      </c>
      <c r="ET12" s="229">
        <f t="shared" si="6"/>
        <v>0</v>
      </c>
      <c r="EU12" s="229">
        <f t="shared" si="6"/>
        <v>0</v>
      </c>
      <c r="EV12" s="229">
        <f t="shared" si="6"/>
        <v>0</v>
      </c>
      <c r="EW12" s="229">
        <f t="shared" si="6"/>
        <v>0</v>
      </c>
      <c r="EX12" s="229">
        <f t="shared" si="6"/>
        <v>0</v>
      </c>
      <c r="EY12" s="229">
        <f t="shared" si="6"/>
        <v>0</v>
      </c>
      <c r="EZ12" s="229">
        <f t="shared" si="6"/>
        <v>0</v>
      </c>
      <c r="FA12" s="229">
        <f t="shared" si="6"/>
        <v>0</v>
      </c>
      <c r="FB12" s="229">
        <f t="shared" si="6"/>
        <v>0</v>
      </c>
      <c r="FC12" s="229">
        <f t="shared" si="6"/>
        <v>0</v>
      </c>
      <c r="FD12" s="229">
        <f t="shared" si="6"/>
        <v>0</v>
      </c>
      <c r="FE12" s="229">
        <f t="shared" si="6"/>
        <v>0</v>
      </c>
      <c r="FF12" s="229">
        <f t="shared" si="6"/>
        <v>0</v>
      </c>
      <c r="FG12" s="229">
        <f t="shared" si="6"/>
        <v>0</v>
      </c>
      <c r="FH12" s="229">
        <f t="shared" si="6"/>
        <v>0</v>
      </c>
      <c r="FI12" s="229">
        <f t="shared" si="6"/>
        <v>0</v>
      </c>
      <c r="FJ12" s="229">
        <f t="shared" si="6"/>
        <v>0</v>
      </c>
      <c r="FK12" s="229">
        <f t="shared" si="6"/>
        <v>0</v>
      </c>
      <c r="FL12" s="229">
        <f t="shared" si="6"/>
        <v>0</v>
      </c>
      <c r="FM12" s="229">
        <f t="shared" si="6"/>
        <v>0</v>
      </c>
      <c r="FN12" s="229">
        <f t="shared" si="6"/>
        <v>0</v>
      </c>
      <c r="FO12" s="229">
        <f t="shared" si="6"/>
        <v>0</v>
      </c>
      <c r="FP12" s="229">
        <f t="shared" si="6"/>
        <v>0</v>
      </c>
      <c r="FQ12" s="229">
        <f t="shared" si="6"/>
        <v>0</v>
      </c>
      <c r="FR12" s="229">
        <f t="shared" si="6"/>
        <v>0</v>
      </c>
      <c r="FS12" s="229">
        <f t="shared" si="6"/>
        <v>0</v>
      </c>
      <c r="FT12" s="229">
        <f t="shared" si="6"/>
        <v>0</v>
      </c>
      <c r="FU12" s="229">
        <f t="shared" si="6"/>
        <v>0</v>
      </c>
      <c r="FV12" s="229">
        <f t="shared" si="6"/>
        <v>0</v>
      </c>
      <c r="FW12" s="229">
        <f t="shared" si="6"/>
        <v>0</v>
      </c>
      <c r="FX12" s="229">
        <f t="shared" si="6"/>
        <v>0</v>
      </c>
      <c r="FY12" s="229">
        <f t="shared" si="6"/>
        <v>0</v>
      </c>
      <c r="FZ12" s="229">
        <f t="shared" si="6"/>
        <v>0</v>
      </c>
      <c r="GA12" s="229">
        <f t="shared" si="6"/>
        <v>0</v>
      </c>
      <c r="GB12" s="229">
        <f t="shared" si="6"/>
        <v>0</v>
      </c>
      <c r="GC12" s="229">
        <f t="shared" si="6"/>
        <v>0</v>
      </c>
      <c r="GD12" s="229">
        <f t="shared" si="6"/>
        <v>0</v>
      </c>
      <c r="GE12" s="229">
        <f t="shared" si="6"/>
        <v>0</v>
      </c>
      <c r="GF12" s="229">
        <f t="shared" si="6"/>
        <v>0</v>
      </c>
      <c r="GG12" s="229">
        <f t="shared" si="6"/>
        <v>0</v>
      </c>
      <c r="GH12" s="229">
        <f t="shared" si="6"/>
        <v>0</v>
      </c>
      <c r="GI12" s="229">
        <f t="shared" si="6"/>
        <v>0</v>
      </c>
      <c r="GJ12" s="229">
        <f t="shared" si="6"/>
        <v>0</v>
      </c>
      <c r="GK12" s="229">
        <f t="shared" si="6"/>
        <v>0</v>
      </c>
      <c r="GL12" s="229">
        <f t="shared" si="6"/>
        <v>0</v>
      </c>
      <c r="GM12" s="229">
        <f t="shared" si="6"/>
        <v>0</v>
      </c>
      <c r="GN12" s="229">
        <f t="shared" si="6"/>
        <v>0</v>
      </c>
      <c r="GO12" s="229">
        <f t="shared" si="6"/>
        <v>0</v>
      </c>
      <c r="GP12" s="229">
        <f t="shared" si="6"/>
        <v>0</v>
      </c>
      <c r="GQ12" s="229">
        <f t="shared" si="6"/>
        <v>0</v>
      </c>
      <c r="GR12" s="229">
        <f t="shared" ref="GR12:JF12" si="7">+GR13+GR14+GR15</f>
        <v>0</v>
      </c>
      <c r="GS12" s="229">
        <f t="shared" si="7"/>
        <v>0</v>
      </c>
      <c r="GT12" s="229">
        <f t="shared" si="7"/>
        <v>0</v>
      </c>
      <c r="GU12" s="229">
        <f t="shared" si="7"/>
        <v>0</v>
      </c>
      <c r="GV12" s="229">
        <f t="shared" si="7"/>
        <v>0</v>
      </c>
      <c r="GW12" s="229">
        <f t="shared" si="7"/>
        <v>0</v>
      </c>
      <c r="GX12" s="229">
        <f t="shared" si="7"/>
        <v>0</v>
      </c>
      <c r="GY12" s="229">
        <f t="shared" si="7"/>
        <v>0</v>
      </c>
      <c r="GZ12" s="229">
        <f t="shared" si="7"/>
        <v>0</v>
      </c>
      <c r="HA12" s="229">
        <f t="shared" si="7"/>
        <v>0</v>
      </c>
      <c r="HB12" s="229">
        <f t="shared" si="7"/>
        <v>0</v>
      </c>
      <c r="HC12" s="229">
        <f t="shared" si="7"/>
        <v>0</v>
      </c>
      <c r="HD12" s="229">
        <f t="shared" si="7"/>
        <v>0</v>
      </c>
      <c r="HE12" s="229">
        <f t="shared" si="7"/>
        <v>0</v>
      </c>
      <c r="HF12" s="229">
        <f t="shared" si="7"/>
        <v>0</v>
      </c>
      <c r="HG12" s="229">
        <f t="shared" si="7"/>
        <v>0</v>
      </c>
      <c r="HH12" s="229">
        <f t="shared" si="7"/>
        <v>0</v>
      </c>
      <c r="HI12" s="229">
        <f t="shared" si="7"/>
        <v>0</v>
      </c>
      <c r="HJ12" s="229">
        <f t="shared" si="7"/>
        <v>0</v>
      </c>
      <c r="HK12" s="229">
        <f t="shared" si="7"/>
        <v>0</v>
      </c>
      <c r="HL12" s="229">
        <f t="shared" si="7"/>
        <v>0</v>
      </c>
      <c r="HM12" s="229">
        <f t="shared" si="7"/>
        <v>0</v>
      </c>
      <c r="HN12" s="229">
        <f t="shared" si="7"/>
        <v>0</v>
      </c>
      <c r="HO12" s="229">
        <f t="shared" si="7"/>
        <v>0</v>
      </c>
      <c r="HP12" s="229">
        <f t="shared" si="7"/>
        <v>0</v>
      </c>
      <c r="HQ12" s="229">
        <f t="shared" si="7"/>
        <v>0</v>
      </c>
      <c r="HR12" s="229">
        <f t="shared" si="7"/>
        <v>0</v>
      </c>
      <c r="HS12" s="229">
        <f t="shared" si="7"/>
        <v>0</v>
      </c>
      <c r="HT12" s="229">
        <f t="shared" si="7"/>
        <v>0</v>
      </c>
      <c r="HU12" s="229">
        <f t="shared" si="7"/>
        <v>0</v>
      </c>
      <c r="HV12" s="229">
        <f t="shared" si="7"/>
        <v>0</v>
      </c>
      <c r="HW12" s="229">
        <f t="shared" si="7"/>
        <v>0</v>
      </c>
      <c r="HX12" s="229">
        <f t="shared" si="7"/>
        <v>0</v>
      </c>
      <c r="HY12" s="229">
        <f t="shared" si="7"/>
        <v>0</v>
      </c>
      <c r="HZ12" s="229">
        <f t="shared" si="7"/>
        <v>0</v>
      </c>
      <c r="IA12" s="229">
        <f t="shared" si="7"/>
        <v>0</v>
      </c>
      <c r="IB12" s="229">
        <f t="shared" si="7"/>
        <v>0</v>
      </c>
      <c r="IC12" s="229">
        <f t="shared" si="7"/>
        <v>0</v>
      </c>
      <c r="ID12" s="229">
        <f t="shared" si="7"/>
        <v>0</v>
      </c>
      <c r="IE12" s="229">
        <f t="shared" si="7"/>
        <v>0</v>
      </c>
      <c r="IF12" s="229">
        <f t="shared" si="7"/>
        <v>0</v>
      </c>
      <c r="IG12" s="229">
        <f t="shared" si="7"/>
        <v>897149962</v>
      </c>
      <c r="IH12" s="229">
        <f t="shared" si="7"/>
        <v>1872854738</v>
      </c>
      <c r="II12" s="229">
        <f t="shared" si="7"/>
        <v>0</v>
      </c>
      <c r="IJ12" s="229">
        <f t="shared" si="7"/>
        <v>0</v>
      </c>
      <c r="IK12" s="229">
        <f t="shared" si="7"/>
        <v>0</v>
      </c>
      <c r="IL12" s="229">
        <f t="shared" si="7"/>
        <v>0</v>
      </c>
      <c r="IM12" s="229">
        <f t="shared" si="7"/>
        <v>0</v>
      </c>
      <c r="IN12" s="229">
        <f t="shared" si="7"/>
        <v>0</v>
      </c>
      <c r="IO12" s="229">
        <f t="shared" si="7"/>
        <v>0</v>
      </c>
      <c r="IP12" s="229">
        <f t="shared" si="7"/>
        <v>0</v>
      </c>
      <c r="IQ12" s="229">
        <f t="shared" si="7"/>
        <v>0</v>
      </c>
      <c r="IR12" s="229">
        <f t="shared" si="7"/>
        <v>0</v>
      </c>
      <c r="IS12" s="229">
        <f t="shared" si="7"/>
        <v>0</v>
      </c>
      <c r="IT12" s="229">
        <f t="shared" si="7"/>
        <v>0</v>
      </c>
      <c r="IU12" s="229">
        <f t="shared" si="7"/>
        <v>0</v>
      </c>
      <c r="IV12" s="229">
        <f t="shared" si="7"/>
        <v>0</v>
      </c>
      <c r="IW12" s="229">
        <f t="shared" si="7"/>
        <v>0</v>
      </c>
      <c r="IX12" s="229">
        <f t="shared" si="7"/>
        <v>0</v>
      </c>
      <c r="IY12" s="229">
        <f t="shared" si="7"/>
        <v>0</v>
      </c>
      <c r="IZ12" s="229">
        <f t="shared" si="7"/>
        <v>0</v>
      </c>
      <c r="JA12" s="229">
        <f t="shared" si="7"/>
        <v>0</v>
      </c>
      <c r="JB12" s="229">
        <f t="shared" si="7"/>
        <v>0</v>
      </c>
      <c r="JC12" s="229">
        <f t="shared" si="7"/>
        <v>0</v>
      </c>
      <c r="JD12" s="229">
        <f t="shared" si="7"/>
        <v>0</v>
      </c>
      <c r="JE12" s="229">
        <f t="shared" si="7"/>
        <v>0</v>
      </c>
      <c r="JF12" s="229">
        <f t="shared" si="7"/>
        <v>0</v>
      </c>
      <c r="JG12" s="229">
        <f t="shared" ref="JG12:LR12" si="8">+JG13+JG14+JG15</f>
        <v>0</v>
      </c>
      <c r="JH12" s="229">
        <f t="shared" si="8"/>
        <v>0</v>
      </c>
      <c r="JI12" s="229">
        <f t="shared" si="8"/>
        <v>0</v>
      </c>
      <c r="JJ12" s="229">
        <f t="shared" si="8"/>
        <v>0</v>
      </c>
      <c r="JK12" s="229">
        <f t="shared" si="8"/>
        <v>0</v>
      </c>
      <c r="JL12" s="229">
        <f t="shared" si="8"/>
        <v>0</v>
      </c>
      <c r="JM12" s="229">
        <f t="shared" si="8"/>
        <v>0</v>
      </c>
      <c r="JN12" s="229">
        <f t="shared" si="8"/>
        <v>0</v>
      </c>
      <c r="JO12" s="229">
        <f t="shared" si="8"/>
        <v>0</v>
      </c>
      <c r="JP12" s="229">
        <f t="shared" si="8"/>
        <v>0</v>
      </c>
      <c r="JQ12" s="229">
        <f t="shared" si="8"/>
        <v>0</v>
      </c>
      <c r="JR12" s="229">
        <f t="shared" si="8"/>
        <v>0</v>
      </c>
      <c r="JS12" s="229">
        <f t="shared" si="8"/>
        <v>898020658</v>
      </c>
      <c r="JT12" s="229">
        <f t="shared" si="8"/>
        <v>898020658</v>
      </c>
      <c r="JU12" s="229">
        <v>898020658</v>
      </c>
      <c r="JV12" s="229">
        <f t="shared" si="8"/>
        <v>0</v>
      </c>
      <c r="JW12" s="229">
        <f t="shared" si="8"/>
        <v>0</v>
      </c>
      <c r="JX12" s="229">
        <f t="shared" si="8"/>
        <v>0</v>
      </c>
      <c r="JY12" s="229">
        <f t="shared" si="8"/>
        <v>0</v>
      </c>
      <c r="JZ12" s="229">
        <f t="shared" si="8"/>
        <v>0</v>
      </c>
      <c r="KA12" s="229">
        <f t="shared" si="8"/>
        <v>0</v>
      </c>
      <c r="KB12" s="229">
        <f t="shared" si="8"/>
        <v>0</v>
      </c>
      <c r="KC12" s="229">
        <f t="shared" si="8"/>
        <v>0</v>
      </c>
      <c r="KD12" s="229">
        <f t="shared" si="8"/>
        <v>0</v>
      </c>
      <c r="KE12" s="229">
        <f t="shared" si="8"/>
        <v>0</v>
      </c>
      <c r="KF12" s="229">
        <f t="shared" si="8"/>
        <v>0</v>
      </c>
      <c r="KG12" s="229">
        <f t="shared" si="8"/>
        <v>0</v>
      </c>
      <c r="KH12" s="229">
        <f t="shared" si="8"/>
        <v>0</v>
      </c>
      <c r="KI12" s="229">
        <f t="shared" si="8"/>
        <v>0</v>
      </c>
      <c r="KJ12" s="229">
        <f t="shared" si="8"/>
        <v>0</v>
      </c>
      <c r="KK12" s="229">
        <f t="shared" si="8"/>
        <v>0</v>
      </c>
      <c r="KL12" s="229">
        <f t="shared" si="8"/>
        <v>0</v>
      </c>
      <c r="KM12" s="229">
        <f t="shared" si="8"/>
        <v>0</v>
      </c>
      <c r="KN12" s="229">
        <f t="shared" si="8"/>
        <v>0</v>
      </c>
      <c r="KO12" s="229">
        <f t="shared" si="8"/>
        <v>0</v>
      </c>
      <c r="KP12" s="229">
        <f t="shared" si="8"/>
        <v>0</v>
      </c>
      <c r="KQ12" s="229">
        <f t="shared" si="8"/>
        <v>0</v>
      </c>
      <c r="KR12" s="229">
        <f t="shared" si="8"/>
        <v>0</v>
      </c>
      <c r="KS12" s="229">
        <f t="shared" si="8"/>
        <v>0</v>
      </c>
      <c r="KT12" s="229">
        <f t="shared" si="8"/>
        <v>1811551</v>
      </c>
      <c r="KU12" s="229">
        <f t="shared" si="8"/>
        <v>0</v>
      </c>
      <c r="KV12" s="229">
        <f t="shared" si="8"/>
        <v>0</v>
      </c>
      <c r="KW12" s="229">
        <f t="shared" si="8"/>
        <v>0</v>
      </c>
      <c r="KX12" s="229">
        <f t="shared" si="8"/>
        <v>0</v>
      </c>
      <c r="KY12" s="229">
        <f t="shared" si="8"/>
        <v>0</v>
      </c>
      <c r="KZ12" s="229">
        <f t="shared" si="8"/>
        <v>0</v>
      </c>
      <c r="LA12" s="229">
        <f t="shared" si="8"/>
        <v>0</v>
      </c>
      <c r="LB12" s="229">
        <f t="shared" si="8"/>
        <v>0</v>
      </c>
      <c r="LC12" s="229">
        <f t="shared" si="8"/>
        <v>0</v>
      </c>
      <c r="LD12" s="229">
        <f t="shared" si="8"/>
        <v>0</v>
      </c>
      <c r="LE12" s="229">
        <f t="shared" si="8"/>
        <v>0</v>
      </c>
      <c r="LF12" s="229">
        <f t="shared" si="8"/>
        <v>0</v>
      </c>
      <c r="LG12" s="229">
        <f t="shared" si="8"/>
        <v>0</v>
      </c>
      <c r="LH12" s="229">
        <f t="shared" si="8"/>
        <v>0</v>
      </c>
      <c r="LI12" s="229">
        <f t="shared" si="8"/>
        <v>0</v>
      </c>
      <c r="LJ12" s="229">
        <f t="shared" si="8"/>
        <v>0</v>
      </c>
      <c r="LK12" s="229">
        <f t="shared" si="8"/>
        <v>0</v>
      </c>
      <c r="LL12" s="229">
        <f t="shared" si="8"/>
        <v>0</v>
      </c>
      <c r="LM12" s="229">
        <f t="shared" si="8"/>
        <v>0</v>
      </c>
      <c r="LN12" s="229">
        <f t="shared" si="8"/>
        <v>0</v>
      </c>
      <c r="LO12" s="229">
        <f t="shared" si="8"/>
        <v>0</v>
      </c>
      <c r="LP12" s="229">
        <f t="shared" si="8"/>
        <v>0</v>
      </c>
      <c r="LQ12" s="229">
        <f t="shared" si="8"/>
        <v>0</v>
      </c>
      <c r="LR12" s="229">
        <f t="shared" si="8"/>
        <v>0</v>
      </c>
      <c r="LS12" s="229">
        <f t="shared" ref="LS12:MX12" si="9">+LS13+LS14+LS15</f>
        <v>0</v>
      </c>
      <c r="LT12" s="229">
        <f t="shared" si="9"/>
        <v>0</v>
      </c>
      <c r="LU12" s="229">
        <f t="shared" si="9"/>
        <v>0</v>
      </c>
      <c r="LV12" s="229">
        <f t="shared" si="9"/>
        <v>0</v>
      </c>
      <c r="LW12" s="229">
        <f t="shared" si="9"/>
        <v>0</v>
      </c>
      <c r="LX12" s="229">
        <f t="shared" si="9"/>
        <v>0</v>
      </c>
      <c r="LY12" s="229">
        <f t="shared" si="9"/>
        <v>0</v>
      </c>
      <c r="LZ12" s="229">
        <f t="shared" si="9"/>
        <v>0</v>
      </c>
      <c r="MA12" s="229">
        <f t="shared" si="9"/>
        <v>0</v>
      </c>
      <c r="MB12" s="229">
        <f t="shared" si="9"/>
        <v>0</v>
      </c>
      <c r="MC12" s="229">
        <f t="shared" si="9"/>
        <v>0</v>
      </c>
      <c r="MD12" s="229">
        <f t="shared" si="9"/>
        <v>0</v>
      </c>
      <c r="ME12" s="229">
        <f t="shared" si="9"/>
        <v>0</v>
      </c>
      <c r="MF12" s="229">
        <f t="shared" si="9"/>
        <v>0</v>
      </c>
      <c r="MG12" s="229">
        <f t="shared" si="9"/>
        <v>0</v>
      </c>
      <c r="MH12" s="229">
        <f t="shared" si="9"/>
        <v>0</v>
      </c>
      <c r="MI12" s="229">
        <f t="shared" si="9"/>
        <v>0</v>
      </c>
      <c r="MJ12" s="229">
        <f t="shared" si="9"/>
        <v>0</v>
      </c>
      <c r="MK12" s="229">
        <f t="shared" si="9"/>
        <v>0</v>
      </c>
      <c r="ML12" s="229">
        <f t="shared" si="9"/>
        <v>0</v>
      </c>
      <c r="MM12" s="229">
        <f t="shared" si="9"/>
        <v>0</v>
      </c>
      <c r="MN12" s="229">
        <f t="shared" si="9"/>
        <v>0</v>
      </c>
      <c r="MO12" s="229">
        <f t="shared" si="9"/>
        <v>0</v>
      </c>
      <c r="MP12" s="229">
        <f t="shared" si="9"/>
        <v>0</v>
      </c>
      <c r="MQ12" s="229">
        <f t="shared" si="9"/>
        <v>0</v>
      </c>
      <c r="MR12" s="229">
        <f t="shared" si="9"/>
        <v>0</v>
      </c>
      <c r="MS12" s="229">
        <f t="shared" si="9"/>
        <v>0</v>
      </c>
      <c r="MT12" s="229">
        <f t="shared" si="9"/>
        <v>0</v>
      </c>
      <c r="MU12" s="229">
        <f t="shared" si="9"/>
        <v>0</v>
      </c>
      <c r="MV12" s="229">
        <f t="shared" si="9"/>
        <v>0</v>
      </c>
      <c r="MW12" s="229">
        <f t="shared" si="9"/>
        <v>0</v>
      </c>
      <c r="MX12" s="229">
        <f t="shared" si="9"/>
        <v>0</v>
      </c>
      <c r="MY12" s="663">
        <f t="shared" si="0"/>
        <v>898620658</v>
      </c>
      <c r="MZ12" s="663">
        <f t="shared" si="1"/>
        <v>898620658</v>
      </c>
      <c r="NA12" s="663">
        <f t="shared" si="2"/>
        <v>0</v>
      </c>
      <c r="NB12" s="663">
        <f t="shared" si="3"/>
        <v>0</v>
      </c>
      <c r="NC12" s="663"/>
      <c r="NE12" s="213"/>
    </row>
    <row r="13" spans="1:369" ht="21.75" customHeight="1" x14ac:dyDescent="0.25">
      <c r="A13" s="208" t="s">
        <v>196</v>
      </c>
      <c r="B13" s="218" t="s">
        <v>529</v>
      </c>
      <c r="C13" s="210"/>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229"/>
      <c r="CT13" s="229">
        <v>600000</v>
      </c>
      <c r="CU13" s="229">
        <v>600000</v>
      </c>
      <c r="CV13" s="229"/>
      <c r="CW13" s="229"/>
      <c r="CX13" s="229"/>
      <c r="CY13" s="229"/>
      <c r="CZ13" s="229"/>
      <c r="DA13" s="229"/>
      <c r="DB13" s="229"/>
      <c r="DC13" s="229"/>
      <c r="DD13" s="229"/>
      <c r="DE13" s="229"/>
      <c r="DF13" s="229"/>
      <c r="DG13" s="229"/>
      <c r="DH13" s="229"/>
      <c r="DI13" s="229"/>
      <c r="DJ13" s="229"/>
      <c r="DK13" s="241"/>
      <c r="DL13" s="241"/>
      <c r="DM13" s="241"/>
      <c r="DN13" s="229"/>
      <c r="DO13" s="229"/>
      <c r="DP13" s="229"/>
      <c r="DQ13" s="229"/>
      <c r="DR13" s="229"/>
      <c r="DS13" s="229"/>
      <c r="DT13" s="229"/>
      <c r="DU13" s="229"/>
      <c r="DV13" s="229"/>
      <c r="DW13" s="229"/>
      <c r="DX13" s="229"/>
      <c r="DY13" s="229"/>
      <c r="DZ13" s="229"/>
      <c r="EA13" s="229"/>
      <c r="EB13" s="229"/>
      <c r="EC13" s="229"/>
      <c r="ED13" s="229"/>
      <c r="EE13" s="229"/>
      <c r="EF13" s="229"/>
      <c r="EG13" s="229"/>
      <c r="EH13" s="229"/>
      <c r="EI13" s="229"/>
      <c r="EJ13" s="229"/>
      <c r="EK13" s="229"/>
      <c r="EL13" s="229"/>
      <c r="EM13" s="229"/>
      <c r="EN13" s="229"/>
      <c r="EO13" s="229"/>
      <c r="EP13" s="229"/>
      <c r="EQ13" s="229"/>
      <c r="ER13" s="229"/>
      <c r="ES13" s="229"/>
      <c r="ET13" s="229"/>
      <c r="EU13" s="229"/>
      <c r="EV13" s="229"/>
      <c r="EW13" s="229"/>
      <c r="EX13" s="229"/>
      <c r="EY13" s="229"/>
      <c r="EZ13" s="229"/>
      <c r="FA13" s="229"/>
      <c r="FB13" s="229"/>
      <c r="FC13" s="229"/>
      <c r="FD13" s="229"/>
      <c r="FE13" s="229"/>
      <c r="FF13" s="229"/>
      <c r="FG13" s="241"/>
      <c r="FH13" s="241"/>
      <c r="FI13" s="241"/>
      <c r="FJ13" s="241"/>
      <c r="FK13" s="241"/>
      <c r="FL13" s="241"/>
      <c r="FM13" s="229"/>
      <c r="FN13" s="229"/>
      <c r="FO13" s="229"/>
      <c r="FP13" s="229"/>
      <c r="FQ13" s="229"/>
      <c r="FR13" s="229"/>
      <c r="FS13" s="229"/>
      <c r="FT13" s="229"/>
      <c r="FU13" s="229"/>
      <c r="FV13" s="229"/>
      <c r="FW13" s="229"/>
      <c r="FX13" s="229"/>
      <c r="FY13" s="229"/>
      <c r="FZ13" s="229"/>
      <c r="GA13" s="229"/>
      <c r="GB13" s="229"/>
      <c r="GC13" s="229"/>
      <c r="GD13" s="229"/>
      <c r="GE13" s="229"/>
      <c r="GF13" s="229"/>
      <c r="GG13" s="229"/>
      <c r="GH13" s="229"/>
      <c r="GI13" s="229"/>
      <c r="GJ13" s="229"/>
      <c r="GK13" s="229"/>
      <c r="GL13" s="229"/>
      <c r="GM13" s="229"/>
      <c r="GN13" s="229"/>
      <c r="GO13" s="229"/>
      <c r="GP13" s="229"/>
      <c r="GQ13" s="229"/>
      <c r="GR13" s="229"/>
      <c r="GS13" s="229"/>
      <c r="GT13" s="229"/>
      <c r="GU13" s="229"/>
      <c r="GV13" s="229"/>
      <c r="GW13" s="229"/>
      <c r="GX13" s="229"/>
      <c r="GY13" s="229"/>
      <c r="GZ13" s="229"/>
      <c r="HA13" s="229"/>
      <c r="HB13" s="229"/>
      <c r="HC13" s="229"/>
      <c r="HD13" s="229"/>
      <c r="HE13" s="229"/>
      <c r="HF13" s="229"/>
      <c r="HG13" s="229"/>
      <c r="HH13" s="229"/>
      <c r="HI13" s="229"/>
      <c r="HJ13" s="229"/>
      <c r="HK13" s="229"/>
      <c r="HL13" s="229"/>
      <c r="HM13" s="229"/>
      <c r="HN13" s="229"/>
      <c r="HO13" s="229"/>
      <c r="HP13" s="229"/>
      <c r="HQ13" s="229"/>
      <c r="HR13" s="229"/>
      <c r="HS13" s="229"/>
      <c r="HT13" s="229"/>
      <c r="HU13" s="229"/>
      <c r="HV13" s="229"/>
      <c r="HW13" s="229"/>
      <c r="HX13" s="229"/>
      <c r="HY13" s="229"/>
      <c r="HZ13" s="229"/>
      <c r="IA13" s="229"/>
      <c r="IB13" s="229"/>
      <c r="IC13" s="229"/>
      <c r="ID13" s="229"/>
      <c r="IE13" s="229"/>
      <c r="IF13" s="229"/>
      <c r="IG13" s="229"/>
      <c r="IH13" s="229"/>
      <c r="II13" s="229"/>
      <c r="IJ13" s="229"/>
      <c r="IK13" s="229"/>
      <c r="IL13" s="229"/>
      <c r="IM13" s="229"/>
      <c r="IN13" s="229"/>
      <c r="IO13" s="229"/>
      <c r="IP13" s="229"/>
      <c r="IQ13" s="229"/>
      <c r="IR13" s="229"/>
      <c r="IS13" s="229"/>
      <c r="IT13" s="229"/>
      <c r="IU13" s="229"/>
      <c r="IV13" s="229"/>
      <c r="IW13" s="229"/>
      <c r="IX13" s="229"/>
      <c r="IY13" s="229"/>
      <c r="IZ13" s="229"/>
      <c r="JA13" s="229"/>
      <c r="JB13" s="229"/>
      <c r="JC13" s="229"/>
      <c r="JD13" s="229"/>
      <c r="JE13" s="229"/>
      <c r="JF13" s="229"/>
      <c r="JG13" s="229"/>
      <c r="JH13" s="229"/>
      <c r="JI13" s="229"/>
      <c r="JJ13" s="229"/>
      <c r="JK13" s="229"/>
      <c r="JL13" s="229"/>
      <c r="JM13" s="229"/>
      <c r="JN13" s="229"/>
      <c r="JO13" s="229"/>
      <c r="JP13" s="229"/>
      <c r="JQ13" s="229"/>
      <c r="JR13" s="229"/>
      <c r="JS13" s="241"/>
      <c r="JT13" s="241"/>
      <c r="JU13" s="241"/>
      <c r="JV13" s="241"/>
      <c r="JW13" s="241"/>
      <c r="JX13" s="241"/>
      <c r="JY13" s="241"/>
      <c r="JZ13" s="241"/>
      <c r="KA13" s="241"/>
      <c r="KB13" s="241"/>
      <c r="KC13" s="241"/>
      <c r="KD13" s="241"/>
      <c r="KE13" s="241"/>
      <c r="KF13" s="241"/>
      <c r="KG13" s="241"/>
      <c r="KH13" s="241"/>
      <c r="KI13" s="241"/>
      <c r="KJ13" s="241"/>
      <c r="KK13" s="241"/>
      <c r="KL13" s="241"/>
      <c r="KM13" s="241"/>
      <c r="KN13" s="241"/>
      <c r="KO13" s="241"/>
      <c r="KP13" s="241"/>
      <c r="KQ13" s="241"/>
      <c r="KR13" s="241"/>
      <c r="KS13" s="241"/>
      <c r="KT13" s="241">
        <f>+'5.sz.Műk.c.pe.átadás'!E34</f>
        <v>1811551</v>
      </c>
      <c r="KU13" s="241"/>
      <c r="KV13" s="241"/>
      <c r="KW13" s="229"/>
      <c r="KX13" s="229"/>
      <c r="KY13" s="229"/>
      <c r="KZ13" s="229"/>
      <c r="LA13" s="229"/>
      <c r="LB13" s="229"/>
      <c r="LC13" s="229"/>
      <c r="LD13" s="229"/>
      <c r="LE13" s="229"/>
      <c r="LF13" s="229"/>
      <c r="LG13" s="229"/>
      <c r="LH13" s="229"/>
      <c r="LI13" s="229"/>
      <c r="LJ13" s="229"/>
      <c r="LK13" s="229"/>
      <c r="LL13" s="229"/>
      <c r="LM13" s="229"/>
      <c r="LN13" s="229"/>
      <c r="LO13" s="229"/>
      <c r="LP13" s="229"/>
      <c r="LQ13" s="229"/>
      <c r="LR13" s="229"/>
      <c r="LS13" s="229"/>
      <c r="LT13" s="229"/>
      <c r="LU13" s="229"/>
      <c r="LV13" s="229"/>
      <c r="LW13" s="229"/>
      <c r="LX13" s="229"/>
      <c r="LY13" s="229"/>
      <c r="LZ13" s="229"/>
      <c r="MA13" s="229"/>
      <c r="MB13" s="229"/>
      <c r="MC13" s="229"/>
      <c r="MD13" s="229"/>
      <c r="ME13" s="229"/>
      <c r="MF13" s="229"/>
      <c r="MG13" s="229"/>
      <c r="MH13" s="229"/>
      <c r="MI13" s="229"/>
      <c r="MJ13" s="229"/>
      <c r="MK13" s="229"/>
      <c r="ML13" s="229"/>
      <c r="MM13" s="229"/>
      <c r="MN13" s="229"/>
      <c r="MO13" s="229"/>
      <c r="MP13" s="229"/>
      <c r="MQ13" s="229"/>
      <c r="MR13" s="229"/>
      <c r="MS13" s="229"/>
      <c r="MT13" s="229"/>
      <c r="MU13" s="229"/>
      <c r="MV13" s="229"/>
      <c r="MW13" s="229"/>
      <c r="MX13" s="229"/>
      <c r="MY13" s="663">
        <f t="shared" si="0"/>
        <v>600000</v>
      </c>
      <c r="MZ13" s="663">
        <f t="shared" si="1"/>
        <v>600000</v>
      </c>
      <c r="NA13" s="663">
        <f t="shared" si="2"/>
        <v>0</v>
      </c>
      <c r="NB13" s="663">
        <f t="shared" si="3"/>
        <v>0</v>
      </c>
      <c r="NC13" s="663"/>
      <c r="NE13" s="213"/>
    </row>
    <row r="14" spans="1:369" s="220" customFormat="1" ht="21.75" customHeight="1" x14ac:dyDescent="0.25">
      <c r="A14" s="208" t="s">
        <v>197</v>
      </c>
      <c r="B14" s="218" t="s">
        <v>530</v>
      </c>
      <c r="C14" s="21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39"/>
      <c r="DJ14" s="239"/>
      <c r="DK14" s="246"/>
      <c r="DL14" s="246"/>
      <c r="DM14" s="246"/>
      <c r="DN14" s="239"/>
      <c r="DO14" s="239"/>
      <c r="DP14" s="239"/>
      <c r="DQ14" s="239"/>
      <c r="DR14" s="239"/>
      <c r="DS14" s="239"/>
      <c r="DT14" s="239"/>
      <c r="DU14" s="239"/>
      <c r="DV14" s="239"/>
      <c r="DW14" s="239"/>
      <c r="DX14" s="239"/>
      <c r="DY14" s="239"/>
      <c r="DZ14" s="239"/>
      <c r="EA14" s="239"/>
      <c r="EB14" s="239"/>
      <c r="EC14" s="239"/>
      <c r="ED14" s="239"/>
      <c r="EE14" s="239"/>
      <c r="EF14" s="239"/>
      <c r="EG14" s="239"/>
      <c r="EH14" s="239"/>
      <c r="EI14" s="239"/>
      <c r="EJ14" s="239"/>
      <c r="EK14" s="239"/>
      <c r="EL14" s="239"/>
      <c r="EM14" s="239"/>
      <c r="EN14" s="239"/>
      <c r="EO14" s="239"/>
      <c r="EP14" s="239"/>
      <c r="EQ14" s="239"/>
      <c r="ER14" s="239"/>
      <c r="ES14" s="239"/>
      <c r="ET14" s="239"/>
      <c r="EU14" s="239"/>
      <c r="EV14" s="239"/>
      <c r="EW14" s="239"/>
      <c r="EX14" s="239"/>
      <c r="EY14" s="239"/>
      <c r="EZ14" s="239"/>
      <c r="FA14" s="239"/>
      <c r="FB14" s="239"/>
      <c r="FC14" s="239"/>
      <c r="FD14" s="239"/>
      <c r="FE14" s="239"/>
      <c r="FF14" s="239"/>
      <c r="FG14" s="246"/>
      <c r="FH14" s="246"/>
      <c r="FI14" s="246"/>
      <c r="FJ14" s="246"/>
      <c r="FK14" s="246"/>
      <c r="FL14" s="246"/>
      <c r="FM14" s="239"/>
      <c r="FN14" s="239"/>
      <c r="FO14" s="239"/>
      <c r="FP14" s="239"/>
      <c r="FQ14" s="239"/>
      <c r="FR14" s="239"/>
      <c r="FS14" s="239"/>
      <c r="FT14" s="239"/>
      <c r="FU14" s="239"/>
      <c r="FV14" s="239"/>
      <c r="FW14" s="239"/>
      <c r="FX14" s="239"/>
      <c r="FY14" s="239"/>
      <c r="FZ14" s="239"/>
      <c r="GA14" s="239"/>
      <c r="GB14" s="239"/>
      <c r="GC14" s="239"/>
      <c r="GD14" s="239"/>
      <c r="GE14" s="239"/>
      <c r="GF14" s="239"/>
      <c r="GG14" s="239"/>
      <c r="GH14" s="239"/>
      <c r="GI14" s="239"/>
      <c r="GJ14" s="239"/>
      <c r="GK14" s="239"/>
      <c r="GL14" s="239"/>
      <c r="GM14" s="239"/>
      <c r="GN14" s="239"/>
      <c r="GO14" s="239"/>
      <c r="GP14" s="239"/>
      <c r="GQ14" s="239"/>
      <c r="GR14" s="239"/>
      <c r="GS14" s="239"/>
      <c r="GT14" s="239"/>
      <c r="GU14" s="239"/>
      <c r="GV14" s="239"/>
      <c r="GW14" s="239"/>
      <c r="GX14" s="239"/>
      <c r="GY14" s="239"/>
      <c r="GZ14" s="239"/>
      <c r="HA14" s="239"/>
      <c r="HB14" s="239"/>
      <c r="HC14" s="239"/>
      <c r="HD14" s="239"/>
      <c r="HE14" s="239"/>
      <c r="HF14" s="239"/>
      <c r="HG14" s="239"/>
      <c r="HH14" s="239"/>
      <c r="HI14" s="239"/>
      <c r="HJ14" s="239"/>
      <c r="HK14" s="239"/>
      <c r="HL14" s="239"/>
      <c r="HM14" s="239"/>
      <c r="HN14" s="239"/>
      <c r="HO14" s="239"/>
      <c r="HP14" s="239"/>
      <c r="HQ14" s="239"/>
      <c r="HR14" s="239"/>
      <c r="HS14" s="239"/>
      <c r="HT14" s="239"/>
      <c r="HU14" s="239"/>
      <c r="HV14" s="239"/>
      <c r="HW14" s="239"/>
      <c r="HX14" s="239"/>
      <c r="HY14" s="239"/>
      <c r="HZ14" s="239"/>
      <c r="IA14" s="239"/>
      <c r="IB14" s="239"/>
      <c r="IC14" s="239"/>
      <c r="ID14" s="239"/>
      <c r="IE14" s="239"/>
      <c r="IF14" s="239"/>
      <c r="IG14" s="239">
        <f>+'8.sz.Tartalékok'!C74</f>
        <v>897149962</v>
      </c>
      <c r="IH14" s="239">
        <v>1872854738</v>
      </c>
      <c r="II14" s="239"/>
      <c r="IJ14" s="239"/>
      <c r="IK14" s="239"/>
      <c r="IL14" s="239"/>
      <c r="IM14" s="239"/>
      <c r="IN14" s="239"/>
      <c r="IO14" s="239"/>
      <c r="IP14" s="239"/>
      <c r="IQ14" s="239"/>
      <c r="IR14" s="239"/>
      <c r="IS14" s="239"/>
      <c r="IT14" s="239"/>
      <c r="IU14" s="239"/>
      <c r="IV14" s="239"/>
      <c r="IW14" s="239"/>
      <c r="IX14" s="239"/>
      <c r="IY14" s="239"/>
      <c r="IZ14" s="239"/>
      <c r="JA14" s="239"/>
      <c r="JB14" s="239"/>
      <c r="JC14" s="239"/>
      <c r="JD14" s="239"/>
      <c r="JE14" s="239"/>
      <c r="JF14" s="239"/>
      <c r="JG14" s="239"/>
      <c r="JH14" s="239"/>
      <c r="JI14" s="239"/>
      <c r="JJ14" s="239"/>
      <c r="JK14" s="239"/>
      <c r="JL14" s="239"/>
      <c r="JM14" s="239"/>
      <c r="JN14" s="239"/>
      <c r="JO14" s="239"/>
      <c r="JP14" s="239"/>
      <c r="JQ14" s="239"/>
      <c r="JR14" s="239"/>
      <c r="JS14" s="246"/>
      <c r="JT14" s="246"/>
      <c r="JU14" s="246"/>
      <c r="JV14" s="246"/>
      <c r="JW14" s="246"/>
      <c r="JX14" s="246"/>
      <c r="JY14" s="246"/>
      <c r="JZ14" s="246"/>
      <c r="KA14" s="246"/>
      <c r="KB14" s="246"/>
      <c r="KC14" s="246"/>
      <c r="KD14" s="246"/>
      <c r="KE14" s="246"/>
      <c r="KF14" s="246"/>
      <c r="KG14" s="246"/>
      <c r="KH14" s="246"/>
      <c r="KI14" s="246"/>
      <c r="KJ14" s="246"/>
      <c r="KK14" s="246"/>
      <c r="KL14" s="246"/>
      <c r="KM14" s="246"/>
      <c r="KN14" s="246"/>
      <c r="KO14" s="246"/>
      <c r="KP14" s="246"/>
      <c r="KQ14" s="246"/>
      <c r="KR14" s="246"/>
      <c r="KS14" s="246"/>
      <c r="KT14" s="246"/>
      <c r="KU14" s="246"/>
      <c r="KV14" s="246"/>
      <c r="KW14" s="239"/>
      <c r="KX14" s="239"/>
      <c r="KY14" s="239"/>
      <c r="KZ14" s="239"/>
      <c r="LA14" s="239"/>
      <c r="LB14" s="239"/>
      <c r="LC14" s="239"/>
      <c r="LD14" s="239"/>
      <c r="LE14" s="239"/>
      <c r="LF14" s="239"/>
      <c r="LG14" s="239"/>
      <c r="LH14" s="239"/>
      <c r="LI14" s="239"/>
      <c r="LJ14" s="239"/>
      <c r="LK14" s="239"/>
      <c r="LL14" s="239"/>
      <c r="LM14" s="239"/>
      <c r="LN14" s="239"/>
      <c r="LO14" s="239"/>
      <c r="LP14" s="239"/>
      <c r="LQ14" s="239"/>
      <c r="LR14" s="239"/>
      <c r="LS14" s="239"/>
      <c r="LT14" s="239"/>
      <c r="LU14" s="239"/>
      <c r="LV14" s="239"/>
      <c r="LW14" s="239"/>
      <c r="LX14" s="239"/>
      <c r="LY14" s="239"/>
      <c r="LZ14" s="239"/>
      <c r="MA14" s="239"/>
      <c r="MB14" s="239"/>
      <c r="MC14" s="239"/>
      <c r="MD14" s="239"/>
      <c r="ME14" s="239"/>
      <c r="MF14" s="239"/>
      <c r="MG14" s="239"/>
      <c r="MH14" s="239"/>
      <c r="MI14" s="239"/>
      <c r="MJ14" s="239"/>
      <c r="MK14" s="239"/>
      <c r="ML14" s="239"/>
      <c r="MM14" s="239"/>
      <c r="MN14" s="239"/>
      <c r="MO14" s="239"/>
      <c r="MP14" s="239"/>
      <c r="MQ14" s="239"/>
      <c r="MR14" s="239"/>
      <c r="MS14" s="239"/>
      <c r="MT14" s="239"/>
      <c r="MU14" s="239"/>
      <c r="MV14" s="239"/>
      <c r="MW14" s="239"/>
      <c r="MX14" s="239"/>
      <c r="MY14" s="663">
        <f>+E14+H14+K14+Q14++T14+W14+Z14+AC14+AF14+AO14+AR14+AU14+AX14+BA14+BD14+BG14+BJ14+BM14+BV14+BY14+CB14+CE14+CH14+CK14+CN14+CQ14+CT14+DC14+DF14+DI14+DL14+DR14+EA14+ED14+EG14+EJ14+EM14+EP14+ES14+EV14+FN14+FT14+GC14+GF14+GI14+GO14+GR14+HJ14+HM14+HP14+IM14+IJ14+IV14+IY14+JE14+JH14+JK14+JN14+JT14+JZ14+KC14+LA14+LD14+LG14+LJ14+LM14+LP14+LS14+LV14+ME14+MH14+MQ14+MT14+GL14+GU14+IH14</f>
        <v>1872854738</v>
      </c>
      <c r="MZ14" s="663">
        <f t="shared" si="1"/>
        <v>0</v>
      </c>
      <c r="NA14" s="663">
        <f t="shared" si="2"/>
        <v>0</v>
      </c>
      <c r="NB14" s="663">
        <f t="shared" si="3"/>
        <v>0</v>
      </c>
      <c r="NC14" s="664"/>
      <c r="NE14" s="213"/>
    </row>
    <row r="15" spans="1:369" s="220" customFormat="1" ht="21.75" customHeight="1" x14ac:dyDescent="0.25">
      <c r="A15" s="208" t="s">
        <v>198</v>
      </c>
      <c r="B15" s="218" t="s">
        <v>531</v>
      </c>
      <c r="C15" s="21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39"/>
      <c r="CP15" s="239"/>
      <c r="CQ15" s="239"/>
      <c r="CR15" s="239"/>
      <c r="CS15" s="239"/>
      <c r="CT15" s="239"/>
      <c r="CU15" s="239"/>
      <c r="CV15" s="239"/>
      <c r="CW15" s="239"/>
      <c r="CX15" s="239"/>
      <c r="CY15" s="239"/>
      <c r="CZ15" s="239"/>
      <c r="DA15" s="239"/>
      <c r="DB15" s="239"/>
      <c r="DC15" s="239"/>
      <c r="DD15" s="239"/>
      <c r="DE15" s="239"/>
      <c r="DF15" s="239"/>
      <c r="DG15" s="239"/>
      <c r="DH15" s="239"/>
      <c r="DI15" s="239"/>
      <c r="DJ15" s="239"/>
      <c r="DK15" s="246"/>
      <c r="DL15" s="246"/>
      <c r="DM15" s="246"/>
      <c r="DN15" s="239"/>
      <c r="DO15" s="239"/>
      <c r="DP15" s="239"/>
      <c r="DQ15" s="239"/>
      <c r="DR15" s="239"/>
      <c r="DS15" s="239"/>
      <c r="DT15" s="239"/>
      <c r="DU15" s="239"/>
      <c r="DV15" s="239"/>
      <c r="DW15" s="239"/>
      <c r="DX15" s="239"/>
      <c r="DY15" s="239"/>
      <c r="DZ15" s="239"/>
      <c r="EA15" s="239"/>
      <c r="EB15" s="239"/>
      <c r="EC15" s="239"/>
      <c r="ED15" s="239"/>
      <c r="EE15" s="239"/>
      <c r="EF15" s="239"/>
      <c r="EG15" s="239"/>
      <c r="EH15" s="239"/>
      <c r="EI15" s="239"/>
      <c r="EJ15" s="239"/>
      <c r="EK15" s="239"/>
      <c r="EL15" s="239"/>
      <c r="EM15" s="239"/>
      <c r="EN15" s="239"/>
      <c r="EO15" s="239"/>
      <c r="EP15" s="239"/>
      <c r="EQ15" s="239"/>
      <c r="ER15" s="239"/>
      <c r="ES15" s="239"/>
      <c r="ET15" s="239"/>
      <c r="EU15" s="239"/>
      <c r="EV15" s="239"/>
      <c r="EW15" s="239"/>
      <c r="EX15" s="239"/>
      <c r="EY15" s="239"/>
      <c r="EZ15" s="239"/>
      <c r="FA15" s="239"/>
      <c r="FB15" s="239"/>
      <c r="FC15" s="239"/>
      <c r="FD15" s="239"/>
      <c r="FE15" s="239"/>
      <c r="FF15" s="239"/>
      <c r="FG15" s="246"/>
      <c r="FH15" s="246"/>
      <c r="FI15" s="246"/>
      <c r="FJ15" s="246"/>
      <c r="FK15" s="246"/>
      <c r="FL15" s="246"/>
      <c r="FM15" s="239"/>
      <c r="FN15" s="239"/>
      <c r="FO15" s="239"/>
      <c r="FP15" s="239"/>
      <c r="FQ15" s="239"/>
      <c r="FR15" s="239"/>
      <c r="FS15" s="239"/>
      <c r="FT15" s="239"/>
      <c r="FU15" s="239"/>
      <c r="FV15" s="239"/>
      <c r="FW15" s="239"/>
      <c r="FX15" s="239"/>
      <c r="FY15" s="239"/>
      <c r="FZ15" s="239"/>
      <c r="GA15" s="239"/>
      <c r="GB15" s="239"/>
      <c r="GC15" s="239"/>
      <c r="GD15" s="239"/>
      <c r="GE15" s="239"/>
      <c r="GF15" s="239"/>
      <c r="GG15" s="239"/>
      <c r="GH15" s="239"/>
      <c r="GI15" s="239"/>
      <c r="GJ15" s="239"/>
      <c r="GK15" s="239"/>
      <c r="GL15" s="239"/>
      <c r="GM15" s="239"/>
      <c r="GN15" s="239"/>
      <c r="GO15" s="239"/>
      <c r="GP15" s="239"/>
      <c r="GQ15" s="239"/>
      <c r="GR15" s="239"/>
      <c r="GS15" s="239"/>
      <c r="GT15" s="239"/>
      <c r="GU15" s="239"/>
      <c r="GV15" s="239"/>
      <c r="GW15" s="239"/>
      <c r="GX15" s="239"/>
      <c r="GY15" s="239"/>
      <c r="GZ15" s="239"/>
      <c r="HA15" s="239"/>
      <c r="HB15" s="239"/>
      <c r="HC15" s="239"/>
      <c r="HD15" s="239"/>
      <c r="HE15" s="239"/>
      <c r="HF15" s="239"/>
      <c r="HG15" s="239"/>
      <c r="HH15" s="239"/>
      <c r="HI15" s="239"/>
      <c r="HJ15" s="239"/>
      <c r="HK15" s="239"/>
      <c r="HL15" s="239"/>
      <c r="HM15" s="239"/>
      <c r="HN15" s="239"/>
      <c r="HO15" s="239"/>
      <c r="HP15" s="239"/>
      <c r="HQ15" s="239"/>
      <c r="HR15" s="239"/>
      <c r="HS15" s="239"/>
      <c r="HT15" s="239"/>
      <c r="HU15" s="239"/>
      <c r="HV15" s="239"/>
      <c r="HW15" s="239"/>
      <c r="HX15" s="239"/>
      <c r="HY15" s="239"/>
      <c r="HZ15" s="239"/>
      <c r="IA15" s="239"/>
      <c r="IB15" s="239"/>
      <c r="IC15" s="239"/>
      <c r="ID15" s="239"/>
      <c r="IE15" s="239"/>
      <c r="IF15" s="239"/>
      <c r="IG15" s="239"/>
      <c r="IH15" s="239"/>
      <c r="II15" s="239"/>
      <c r="IJ15" s="239"/>
      <c r="IK15" s="239"/>
      <c r="IL15" s="239"/>
      <c r="IM15" s="239"/>
      <c r="IN15" s="239"/>
      <c r="IO15" s="239"/>
      <c r="IP15" s="239"/>
      <c r="IQ15" s="239"/>
      <c r="IR15" s="239"/>
      <c r="IS15" s="239"/>
      <c r="IT15" s="239"/>
      <c r="IU15" s="239"/>
      <c r="IV15" s="239"/>
      <c r="IW15" s="239"/>
      <c r="IX15" s="239"/>
      <c r="IY15" s="239"/>
      <c r="IZ15" s="239"/>
      <c r="JA15" s="239"/>
      <c r="JB15" s="239"/>
      <c r="JC15" s="239"/>
      <c r="JD15" s="239"/>
      <c r="JE15" s="239"/>
      <c r="JF15" s="239"/>
      <c r="JG15" s="239"/>
      <c r="JH15" s="239"/>
      <c r="JI15" s="239"/>
      <c r="JJ15" s="239"/>
      <c r="JK15" s="239"/>
      <c r="JL15" s="239"/>
      <c r="JM15" s="239"/>
      <c r="JN15" s="239"/>
      <c r="JO15" s="239"/>
      <c r="JP15" s="239"/>
      <c r="JQ15" s="239"/>
      <c r="JR15" s="239"/>
      <c r="JS15" s="240">
        <v>898020658</v>
      </c>
      <c r="JT15" s="240">
        <v>898020658</v>
      </c>
      <c r="JU15" s="240">
        <v>898020658</v>
      </c>
      <c r="JV15" s="240"/>
      <c r="JW15" s="240"/>
      <c r="JX15" s="240"/>
      <c r="JY15" s="246"/>
      <c r="JZ15" s="246"/>
      <c r="KA15" s="246"/>
      <c r="KB15" s="246"/>
      <c r="KC15" s="246"/>
      <c r="KD15" s="246"/>
      <c r="KE15" s="246"/>
      <c r="KF15" s="246"/>
      <c r="KG15" s="246"/>
      <c r="KH15" s="246"/>
      <c r="KI15" s="246"/>
      <c r="KJ15" s="246"/>
      <c r="KK15" s="246"/>
      <c r="KL15" s="246"/>
      <c r="KM15" s="246"/>
      <c r="KN15" s="246"/>
      <c r="KO15" s="246"/>
      <c r="KP15" s="246"/>
      <c r="KQ15" s="246"/>
      <c r="KR15" s="246"/>
      <c r="KS15" s="246"/>
      <c r="KT15" s="246"/>
      <c r="KU15" s="246"/>
      <c r="KV15" s="246"/>
      <c r="KW15" s="239"/>
      <c r="KX15" s="239"/>
      <c r="KY15" s="239"/>
      <c r="KZ15" s="239"/>
      <c r="LA15" s="239"/>
      <c r="LB15" s="239"/>
      <c r="LC15" s="239"/>
      <c r="LD15" s="239"/>
      <c r="LE15" s="239"/>
      <c r="LF15" s="239"/>
      <c r="LG15" s="239"/>
      <c r="LH15" s="239"/>
      <c r="LI15" s="239"/>
      <c r="LJ15" s="239"/>
      <c r="LK15" s="239"/>
      <c r="LL15" s="239"/>
      <c r="LM15" s="239"/>
      <c r="LN15" s="239"/>
      <c r="LO15" s="239"/>
      <c r="LP15" s="239"/>
      <c r="LQ15" s="239"/>
      <c r="LR15" s="239"/>
      <c r="LS15" s="239"/>
      <c r="LT15" s="239"/>
      <c r="LU15" s="239"/>
      <c r="LV15" s="239"/>
      <c r="LW15" s="239"/>
      <c r="LX15" s="239"/>
      <c r="LY15" s="239"/>
      <c r="LZ15" s="239"/>
      <c r="MA15" s="239"/>
      <c r="MB15" s="239"/>
      <c r="MC15" s="239"/>
      <c r="MD15" s="239"/>
      <c r="ME15" s="239"/>
      <c r="MF15" s="239"/>
      <c r="MG15" s="239"/>
      <c r="MH15" s="239"/>
      <c r="MI15" s="239"/>
      <c r="MJ15" s="239"/>
      <c r="MK15" s="239"/>
      <c r="ML15" s="239"/>
      <c r="MM15" s="239"/>
      <c r="MN15" s="239"/>
      <c r="MO15" s="239"/>
      <c r="MP15" s="239"/>
      <c r="MQ15" s="239"/>
      <c r="MR15" s="239"/>
      <c r="MS15" s="239"/>
      <c r="MT15" s="239"/>
      <c r="MU15" s="239"/>
      <c r="MV15" s="239"/>
      <c r="MW15" s="239"/>
      <c r="MX15" s="239"/>
      <c r="MY15" s="663">
        <f t="shared" si="0"/>
        <v>898020658</v>
      </c>
      <c r="MZ15" s="663">
        <f t="shared" si="1"/>
        <v>898020658</v>
      </c>
      <c r="NA15" s="663">
        <f t="shared" si="2"/>
        <v>0</v>
      </c>
      <c r="NB15" s="663">
        <f t="shared" si="3"/>
        <v>0</v>
      </c>
      <c r="NC15" s="664"/>
      <c r="NE15" s="213"/>
    </row>
    <row r="16" spans="1:369" s="298" customFormat="1" ht="21.75" customHeight="1" x14ac:dyDescent="0.25">
      <c r="A16" s="295" t="s">
        <v>199</v>
      </c>
      <c r="B16" s="680" t="s">
        <v>244</v>
      </c>
      <c r="C16" s="297" t="s">
        <v>208</v>
      </c>
      <c r="D16" s="229">
        <v>270974377</v>
      </c>
      <c r="E16" s="229">
        <v>249545096</v>
      </c>
      <c r="F16" s="229">
        <v>248607177</v>
      </c>
      <c r="G16" s="229">
        <v>87152400</v>
      </c>
      <c r="H16" s="229">
        <v>56219938</v>
      </c>
      <c r="I16" s="229">
        <v>56151832</v>
      </c>
      <c r="J16" s="229">
        <v>4820771</v>
      </c>
      <c r="K16" s="229">
        <v>4820771</v>
      </c>
      <c r="L16" s="229">
        <v>4820771</v>
      </c>
      <c r="M16" s="229"/>
      <c r="N16" s="229">
        <v>2351024</v>
      </c>
      <c r="O16" s="229">
        <v>2351024</v>
      </c>
      <c r="P16" s="229">
        <v>30660400</v>
      </c>
      <c r="Q16" s="229">
        <v>20389850</v>
      </c>
      <c r="R16" s="229">
        <v>4864100</v>
      </c>
      <c r="S16" s="229">
        <v>254000</v>
      </c>
      <c r="T16" s="229">
        <v>0</v>
      </c>
      <c r="U16" s="229"/>
      <c r="V16" s="229">
        <v>67707653</v>
      </c>
      <c r="W16" s="229">
        <v>109517156</v>
      </c>
      <c r="X16" s="229">
        <v>37009502</v>
      </c>
      <c r="Y16" s="229">
        <v>13073150</v>
      </c>
      <c r="Z16" s="229">
        <v>41944027</v>
      </c>
      <c r="AA16" s="229">
        <v>41944027</v>
      </c>
      <c r="AB16" s="229"/>
      <c r="AC16" s="229"/>
      <c r="AD16" s="229"/>
      <c r="AE16" s="240"/>
      <c r="AF16" s="240"/>
      <c r="AG16" s="240"/>
      <c r="AH16" s="240"/>
      <c r="AI16" s="240"/>
      <c r="AJ16" s="240"/>
      <c r="AK16" s="240"/>
      <c r="AL16" s="240"/>
      <c r="AM16" s="240"/>
      <c r="AN16" s="240"/>
      <c r="AO16" s="240"/>
      <c r="AP16" s="240"/>
      <c r="AQ16" s="240"/>
      <c r="AR16" s="240"/>
      <c r="AS16" s="240"/>
      <c r="AT16" s="240"/>
      <c r="AU16" s="240">
        <v>9079528</v>
      </c>
      <c r="AV16" s="240"/>
      <c r="AW16" s="240"/>
      <c r="AX16" s="240"/>
      <c r="AY16" s="240"/>
      <c r="AZ16" s="229">
        <v>889000</v>
      </c>
      <c r="BA16" s="229">
        <v>889000</v>
      </c>
      <c r="BB16" s="229">
        <v>385990</v>
      </c>
      <c r="BC16" s="229">
        <v>127000</v>
      </c>
      <c r="BD16" s="229">
        <v>127000</v>
      </c>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29">
        <v>1617604</v>
      </c>
      <c r="CC16" s="229">
        <v>1617604</v>
      </c>
      <c r="CD16" s="229"/>
      <c r="CE16" s="229"/>
      <c r="CF16" s="229"/>
      <c r="CG16" s="229"/>
      <c r="CH16" s="229"/>
      <c r="CI16" s="229"/>
      <c r="CJ16" s="229">
        <v>3000000</v>
      </c>
      <c r="CK16" s="229">
        <v>1989933</v>
      </c>
      <c r="CL16" s="229">
        <v>1826260</v>
      </c>
      <c r="CM16" s="229"/>
      <c r="CN16" s="229"/>
      <c r="CO16" s="229"/>
      <c r="CP16" s="229"/>
      <c r="CQ16" s="229"/>
      <c r="CR16" s="229"/>
      <c r="CS16" s="229"/>
      <c r="CT16" s="229">
        <v>270000</v>
      </c>
      <c r="CU16" s="229">
        <v>270000</v>
      </c>
      <c r="CV16" s="229"/>
      <c r="CW16" s="229"/>
      <c r="CX16" s="229"/>
      <c r="CY16" s="229"/>
      <c r="CZ16" s="229"/>
      <c r="DA16" s="229"/>
      <c r="DB16" s="229">
        <v>15000000</v>
      </c>
      <c r="DC16" s="229">
        <v>18607596</v>
      </c>
      <c r="DD16" s="229">
        <v>18607596</v>
      </c>
      <c r="DE16" s="229">
        <v>1409700</v>
      </c>
      <c r="DF16" s="229">
        <v>1409700</v>
      </c>
      <c r="DG16" s="229"/>
      <c r="DH16" s="229">
        <v>254000</v>
      </c>
      <c r="DI16" s="229">
        <v>254000</v>
      </c>
      <c r="DJ16" s="229"/>
      <c r="DK16" s="240"/>
      <c r="DL16" s="240"/>
      <c r="DM16" s="240"/>
      <c r="DN16" s="229"/>
      <c r="DO16" s="229"/>
      <c r="DP16" s="229"/>
      <c r="DQ16" s="229">
        <v>15444500</v>
      </c>
      <c r="DR16" s="229">
        <v>18133000</v>
      </c>
      <c r="DS16" s="229">
        <v>9908450</v>
      </c>
      <c r="DT16" s="229"/>
      <c r="DU16" s="229"/>
      <c r="DV16" s="229"/>
      <c r="DW16" s="229"/>
      <c r="DX16" s="229"/>
      <c r="DY16" s="229"/>
      <c r="DZ16" s="229"/>
      <c r="EA16" s="229"/>
      <c r="EB16" s="229"/>
      <c r="EC16" s="229">
        <v>6000000</v>
      </c>
      <c r="ED16" s="229">
        <v>5755070</v>
      </c>
      <c r="EE16" s="229">
        <v>2342418</v>
      </c>
      <c r="EF16" s="229"/>
      <c r="EG16" s="229">
        <v>54990</v>
      </c>
      <c r="EH16" s="229">
        <v>54990</v>
      </c>
      <c r="EI16" s="229"/>
      <c r="EJ16" s="229"/>
      <c r="EK16" s="229"/>
      <c r="EL16" s="229"/>
      <c r="EM16" s="229"/>
      <c r="EN16" s="229"/>
      <c r="EO16" s="229">
        <v>635000</v>
      </c>
      <c r="EP16" s="229">
        <v>1073870</v>
      </c>
      <c r="EQ16" s="229">
        <v>1073870</v>
      </c>
      <c r="ER16" s="229">
        <v>17589500</v>
      </c>
      <c r="ES16" s="229">
        <v>24783202</v>
      </c>
      <c r="ET16" s="229">
        <v>23327737</v>
      </c>
      <c r="EU16" s="229"/>
      <c r="EV16" s="229">
        <v>244930</v>
      </c>
      <c r="EW16" s="229">
        <v>244930</v>
      </c>
      <c r="EX16" s="229"/>
      <c r="EY16" s="229"/>
      <c r="EZ16" s="229"/>
      <c r="FA16" s="229"/>
      <c r="FB16" s="229"/>
      <c r="FC16" s="229"/>
      <c r="FD16" s="229"/>
      <c r="FE16" s="229"/>
      <c r="FF16" s="229"/>
      <c r="FG16" s="229">
        <v>4583303</v>
      </c>
      <c r="FH16" s="229">
        <v>42870811</v>
      </c>
      <c r="FI16" s="229">
        <v>14235811</v>
      </c>
      <c r="FJ16" s="229"/>
      <c r="FK16" s="229"/>
      <c r="FL16" s="229"/>
      <c r="FM16" s="229"/>
      <c r="FN16" s="229"/>
      <c r="FO16" s="229"/>
      <c r="FP16" s="229"/>
      <c r="FQ16" s="229"/>
      <c r="FR16" s="229"/>
      <c r="FS16" s="229"/>
      <c r="FT16" s="229"/>
      <c r="FU16" s="229"/>
      <c r="FV16" s="229"/>
      <c r="FW16" s="229">
        <v>2014220</v>
      </c>
      <c r="FX16" s="229">
        <v>2014220</v>
      </c>
      <c r="FY16" s="229">
        <v>1200000</v>
      </c>
      <c r="FZ16" s="229">
        <v>1200000</v>
      </c>
      <c r="GA16" s="229"/>
      <c r="GB16" s="229"/>
      <c r="GC16" s="229"/>
      <c r="GD16" s="229"/>
      <c r="GE16" s="229"/>
      <c r="GF16" s="229">
        <v>48600145</v>
      </c>
      <c r="GG16" s="229">
        <v>48600145</v>
      </c>
      <c r="GH16" s="229"/>
      <c r="GI16" s="229">
        <v>0</v>
      </c>
      <c r="GJ16" s="229"/>
      <c r="GK16" s="229"/>
      <c r="GL16" s="229">
        <v>6023622</v>
      </c>
      <c r="GM16" s="229"/>
      <c r="GN16" s="229">
        <v>508000</v>
      </c>
      <c r="GO16" s="229">
        <v>508000</v>
      </c>
      <c r="GP16" s="229">
        <v>508000</v>
      </c>
      <c r="GQ16" s="229"/>
      <c r="GR16" s="229">
        <v>0</v>
      </c>
      <c r="GS16" s="229"/>
      <c r="GT16" s="229"/>
      <c r="GU16" s="229">
        <v>34621550</v>
      </c>
      <c r="GV16" s="229"/>
      <c r="GW16" s="229"/>
      <c r="GX16" s="229"/>
      <c r="GY16" s="229"/>
      <c r="GZ16" s="229"/>
      <c r="HA16" s="229"/>
      <c r="HB16" s="229"/>
      <c r="HC16" s="229"/>
      <c r="HD16" s="229"/>
      <c r="HE16" s="229"/>
      <c r="HF16" s="229"/>
      <c r="HG16" s="229"/>
      <c r="HH16" s="229"/>
      <c r="HI16" s="229"/>
      <c r="HJ16" s="229"/>
      <c r="HK16" s="229"/>
      <c r="HL16" s="229"/>
      <c r="HM16" s="229"/>
      <c r="HN16" s="229"/>
      <c r="HO16" s="229"/>
      <c r="HP16" s="229"/>
      <c r="HQ16" s="229"/>
      <c r="HR16" s="229"/>
      <c r="HS16" s="229"/>
      <c r="HT16" s="229"/>
      <c r="HU16" s="229"/>
      <c r="HV16" s="229"/>
      <c r="HW16" s="229"/>
      <c r="HX16" s="229"/>
      <c r="HY16" s="229"/>
      <c r="HZ16" s="229"/>
      <c r="IA16" s="229"/>
      <c r="IB16" s="229"/>
      <c r="IC16" s="229"/>
      <c r="ID16" s="229"/>
      <c r="IE16" s="229"/>
      <c r="IF16" s="229"/>
      <c r="IG16" s="229"/>
      <c r="IH16" s="229"/>
      <c r="II16" s="229"/>
      <c r="IJ16" s="229"/>
      <c r="IK16" s="229"/>
      <c r="IL16" s="229"/>
      <c r="IM16" s="229"/>
      <c r="IN16" s="229"/>
      <c r="IO16" s="229"/>
      <c r="IP16" s="229"/>
      <c r="IQ16" s="229"/>
      <c r="IR16" s="229"/>
      <c r="IS16" s="229"/>
      <c r="IT16" s="229"/>
      <c r="IU16" s="229"/>
      <c r="IV16" s="229"/>
      <c r="IW16" s="229"/>
      <c r="IX16" s="229"/>
      <c r="IY16" s="229">
        <v>28847471</v>
      </c>
      <c r="IZ16" s="229">
        <v>75311</v>
      </c>
      <c r="JA16" s="229"/>
      <c r="JB16" s="229"/>
      <c r="JC16" s="229"/>
      <c r="JD16" s="229"/>
      <c r="JE16" s="229">
        <v>7472477</v>
      </c>
      <c r="JF16" s="229">
        <v>7472477</v>
      </c>
      <c r="JG16" s="229">
        <v>228600</v>
      </c>
      <c r="JH16" s="229">
        <v>790565</v>
      </c>
      <c r="JI16" s="229">
        <v>790565</v>
      </c>
      <c r="JJ16" s="229"/>
      <c r="JK16" s="229"/>
      <c r="JL16" s="229"/>
      <c r="JM16" s="229"/>
      <c r="JN16" s="229">
        <v>3030827</v>
      </c>
      <c r="JO16" s="229">
        <v>3030827</v>
      </c>
      <c r="JP16" s="229"/>
      <c r="JQ16" s="229"/>
      <c r="JR16" s="229"/>
      <c r="JS16" s="240"/>
      <c r="JT16" s="240"/>
      <c r="JU16" s="240"/>
      <c r="JV16" s="240"/>
      <c r="JW16" s="240"/>
      <c r="JX16" s="240"/>
      <c r="JY16" s="229">
        <v>665896057</v>
      </c>
      <c r="JZ16" s="229">
        <v>562836618</v>
      </c>
      <c r="KA16" s="229">
        <v>2901950</v>
      </c>
      <c r="KB16" s="229"/>
      <c r="KC16" s="229">
        <v>8475667</v>
      </c>
      <c r="KD16" s="229">
        <v>5824666</v>
      </c>
      <c r="KE16" s="229"/>
      <c r="KF16" s="229"/>
      <c r="KG16" s="229"/>
      <c r="KH16" s="229"/>
      <c r="KI16" s="229"/>
      <c r="KJ16" s="229"/>
      <c r="KK16" s="229"/>
      <c r="KL16" s="229"/>
      <c r="KM16" s="229"/>
      <c r="KN16" s="229">
        <v>497685262</v>
      </c>
      <c r="KO16" s="229">
        <v>387941151</v>
      </c>
      <c r="KP16" s="229">
        <v>322088092</v>
      </c>
      <c r="KQ16" s="229"/>
      <c r="KR16" s="229">
        <v>22529027</v>
      </c>
      <c r="KS16" s="229">
        <v>21140907</v>
      </c>
      <c r="KT16" s="229"/>
      <c r="KU16" s="229"/>
      <c r="KV16" s="229"/>
      <c r="KW16" s="229"/>
      <c r="KX16" s="229"/>
      <c r="KY16" s="229"/>
      <c r="KZ16" s="229"/>
      <c r="LA16" s="229"/>
      <c r="LB16" s="229"/>
      <c r="LC16" s="229"/>
      <c r="LD16" s="229"/>
      <c r="LE16" s="229"/>
      <c r="LF16" s="229">
        <v>7499350</v>
      </c>
      <c r="LG16" s="229">
        <v>41418264</v>
      </c>
      <c r="LH16" s="229">
        <v>6604000</v>
      </c>
      <c r="LI16" s="229"/>
      <c r="LJ16" s="229"/>
      <c r="LK16" s="229"/>
      <c r="LL16" s="229"/>
      <c r="LM16" s="229"/>
      <c r="LN16" s="229"/>
      <c r="LO16" s="229"/>
      <c r="LP16" s="229"/>
      <c r="LQ16" s="229"/>
      <c r="LR16" s="229">
        <v>9000000</v>
      </c>
      <c r="LS16" s="229">
        <f>9000000-4000000</f>
        <v>5000000</v>
      </c>
      <c r="LT16" s="229"/>
      <c r="LU16" s="229"/>
      <c r="LV16" s="229"/>
      <c r="LW16" s="229"/>
      <c r="LX16" s="229">
        <v>43997512</v>
      </c>
      <c r="LY16" s="229">
        <v>48997508</v>
      </c>
      <c r="LZ16" s="229">
        <v>48997508</v>
      </c>
      <c r="MA16" s="229">
        <v>5000000</v>
      </c>
      <c r="MB16" s="229">
        <v>500004</v>
      </c>
      <c r="MC16" s="229">
        <v>500000</v>
      </c>
      <c r="MD16" s="229"/>
      <c r="ME16" s="229"/>
      <c r="MF16" s="229"/>
      <c r="MG16" s="229"/>
      <c r="MH16" s="229"/>
      <c r="MI16" s="229"/>
      <c r="MJ16" s="229"/>
      <c r="MK16" s="229">
        <f>4300000+1161000+450000+121500-450000-121500</f>
        <v>5461000</v>
      </c>
      <c r="ML16" s="229">
        <v>5461000</v>
      </c>
      <c r="MM16" s="229"/>
      <c r="MN16" s="229">
        <v>80000</v>
      </c>
      <c r="MO16" s="229">
        <v>80000</v>
      </c>
      <c r="MP16" s="229"/>
      <c r="MQ16" s="229">
        <f>500000-500000+4460000+1204200+92913386+25086614</f>
        <v>123664200</v>
      </c>
      <c r="MR16" s="229">
        <v>5664200</v>
      </c>
      <c r="MS16" s="229"/>
      <c r="MT16" s="229">
        <f>3937008+1062992+3012992+813508+800000-800000</f>
        <v>8826500</v>
      </c>
      <c r="MU16" s="229">
        <v>8826500</v>
      </c>
      <c r="MV16" s="229"/>
      <c r="MW16" s="229"/>
      <c r="MX16" s="229"/>
      <c r="MY16" s="663">
        <f t="shared" si="0"/>
        <v>1446842167</v>
      </c>
      <c r="MZ16" s="663">
        <f t="shared" si="1"/>
        <v>543355895</v>
      </c>
      <c r="NA16" s="663">
        <f>+N16+AI16+AL16+BP16+BS16+CW16+CZ16+DO16+DU16+DX16+EY16+FB16+FE16+FH16+FK16+FZ16+GX16+HA16+HD16+HG16+HS16+HV16+HY16+IB16+IE16+IP16+IS16+JB16+JQ16+KF16+KI16+KL16+KO16+KR16+KX16+LY16+MB16+MK16+MN16+FW16</f>
        <v>513944745</v>
      </c>
      <c r="NB16" s="663">
        <f t="shared" si="3"/>
        <v>416868562</v>
      </c>
      <c r="NC16" s="663"/>
      <c r="ND16" s="298">
        <v>1335639616</v>
      </c>
      <c r="NE16" s="244" t="e">
        <f>+ND16-#REF!</f>
        <v>#REF!</v>
      </c>
    </row>
    <row r="17" spans="1:369" s="215" customFormat="1" ht="21.75" customHeight="1" x14ac:dyDescent="0.25">
      <c r="A17" s="208" t="s">
        <v>200</v>
      </c>
      <c r="B17" s="217" t="s">
        <v>333</v>
      </c>
      <c r="C17" s="210" t="s">
        <v>209</v>
      </c>
      <c r="D17" s="229"/>
      <c r="E17" s="229">
        <v>5513200</v>
      </c>
      <c r="F17" s="229">
        <v>5513200</v>
      </c>
      <c r="G17" s="229"/>
      <c r="H17" s="229">
        <v>6541770</v>
      </c>
      <c r="I17" s="229">
        <v>6541770</v>
      </c>
      <c r="J17" s="229"/>
      <c r="K17" s="229"/>
      <c r="L17" s="229"/>
      <c r="M17" s="229"/>
      <c r="N17" s="229"/>
      <c r="O17" s="229"/>
      <c r="P17" s="229"/>
      <c r="Q17" s="229"/>
      <c r="R17" s="229"/>
      <c r="S17" s="229"/>
      <c r="T17" s="229"/>
      <c r="U17" s="229"/>
      <c r="V17" s="229"/>
      <c r="W17" s="229">
        <v>4403040</v>
      </c>
      <c r="X17" s="229">
        <v>928320</v>
      </c>
      <c r="Y17" s="229"/>
      <c r="Z17" s="229">
        <v>1991360</v>
      </c>
      <c r="AA17" s="229">
        <v>1991360</v>
      </c>
      <c r="AB17" s="229"/>
      <c r="AC17" s="229"/>
      <c r="AD17" s="229"/>
      <c r="AE17" s="240"/>
      <c r="AF17" s="240"/>
      <c r="AG17" s="240"/>
      <c r="AH17" s="240"/>
      <c r="AI17" s="240"/>
      <c r="AJ17" s="240"/>
      <c r="AK17" s="240"/>
      <c r="AL17" s="240"/>
      <c r="AM17" s="240"/>
      <c r="AN17" s="240"/>
      <c r="AO17" s="240"/>
      <c r="AP17" s="240"/>
      <c r="AQ17" s="240"/>
      <c r="AR17" s="240"/>
      <c r="AS17" s="240"/>
      <c r="AT17" s="240">
        <v>6698581</v>
      </c>
      <c r="AU17" s="240">
        <v>6698581</v>
      </c>
      <c r="AV17" s="240">
        <v>698581</v>
      </c>
      <c r="AW17" s="240"/>
      <c r="AX17" s="240"/>
      <c r="AY17" s="240"/>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29"/>
      <c r="DC17" s="229"/>
      <c r="DD17" s="229"/>
      <c r="DE17" s="229"/>
      <c r="DF17" s="229"/>
      <c r="DG17" s="229"/>
      <c r="DH17" s="229"/>
      <c r="DI17" s="229"/>
      <c r="DJ17" s="229"/>
      <c r="DK17" s="240"/>
      <c r="DL17" s="240"/>
      <c r="DM17" s="240"/>
      <c r="DN17" s="229"/>
      <c r="DO17" s="229"/>
      <c r="DP17" s="229"/>
      <c r="DQ17" s="229"/>
      <c r="DR17" s="229"/>
      <c r="DS17" s="229"/>
      <c r="DT17" s="229"/>
      <c r="DU17" s="229"/>
      <c r="DV17" s="229"/>
      <c r="DW17" s="229"/>
      <c r="DX17" s="229"/>
      <c r="DY17" s="229"/>
      <c r="DZ17" s="229"/>
      <c r="EA17" s="229"/>
      <c r="EB17" s="229"/>
      <c r="EC17" s="229"/>
      <c r="ED17" s="229"/>
      <c r="EE17" s="229"/>
      <c r="EF17" s="229"/>
      <c r="EG17" s="229"/>
      <c r="EH17" s="229"/>
      <c r="EI17" s="229"/>
      <c r="EJ17" s="229"/>
      <c r="EK17" s="229"/>
      <c r="EL17" s="229"/>
      <c r="EM17" s="229"/>
      <c r="EN17" s="229"/>
      <c r="EO17" s="229">
        <v>1000000</v>
      </c>
      <c r="EP17" s="229">
        <v>1000000</v>
      </c>
      <c r="EQ17" s="229"/>
      <c r="ER17" s="229"/>
      <c r="ES17" s="229">
        <f>19291339+5208661</f>
        <v>24500000</v>
      </c>
      <c r="ET17" s="229">
        <v>23088600</v>
      </c>
      <c r="EU17" s="229"/>
      <c r="EV17" s="229"/>
      <c r="EW17" s="229"/>
      <c r="EX17" s="229"/>
      <c r="EY17" s="229"/>
      <c r="EZ17" s="229"/>
      <c r="FA17" s="229"/>
      <c r="FB17" s="229"/>
      <c r="FC17" s="229"/>
      <c r="FD17" s="229"/>
      <c r="FE17" s="229"/>
      <c r="FF17" s="229"/>
      <c r="FG17" s="240"/>
      <c r="FH17" s="240"/>
      <c r="FI17" s="240"/>
      <c r="FJ17" s="240"/>
      <c r="FK17" s="240"/>
      <c r="FL17" s="240"/>
      <c r="FM17" s="229"/>
      <c r="FN17" s="229"/>
      <c r="FO17" s="229"/>
      <c r="FP17" s="229"/>
      <c r="FQ17" s="229"/>
      <c r="FR17" s="229"/>
      <c r="FS17" s="229"/>
      <c r="FT17" s="229"/>
      <c r="FU17" s="229"/>
      <c r="FV17" s="229"/>
      <c r="FW17" s="229"/>
      <c r="FX17" s="229"/>
      <c r="FY17" s="229"/>
      <c r="FZ17" s="229"/>
      <c r="GA17" s="229"/>
      <c r="GB17" s="229"/>
      <c r="GC17" s="229"/>
      <c r="GD17" s="229"/>
      <c r="GE17" s="229"/>
      <c r="GF17" s="229">
        <v>0</v>
      </c>
      <c r="GG17" s="229"/>
      <c r="GH17" s="229">
        <v>65000000</v>
      </c>
      <c r="GI17" s="229">
        <v>0</v>
      </c>
      <c r="GJ17" s="229"/>
      <c r="GK17" s="229"/>
      <c r="GL17" s="229"/>
      <c r="GM17" s="229"/>
      <c r="GN17" s="229"/>
      <c r="GO17" s="229">
        <v>24249116</v>
      </c>
      <c r="GP17" s="229">
        <v>24249116</v>
      </c>
      <c r="GQ17" s="229">
        <v>65000000</v>
      </c>
      <c r="GR17" s="229">
        <v>0</v>
      </c>
      <c r="GS17" s="229"/>
      <c r="GT17" s="229"/>
      <c r="GU17" s="229"/>
      <c r="GV17" s="229"/>
      <c r="GW17" s="229"/>
      <c r="GX17" s="229"/>
      <c r="GY17" s="229"/>
      <c r="GZ17" s="229"/>
      <c r="HA17" s="229"/>
      <c r="HB17" s="229"/>
      <c r="HC17" s="229"/>
      <c r="HD17" s="229"/>
      <c r="HE17" s="229"/>
      <c r="HF17" s="229"/>
      <c r="HG17" s="229"/>
      <c r="HH17" s="229"/>
      <c r="HI17" s="229"/>
      <c r="HJ17" s="229"/>
      <c r="HK17" s="229"/>
      <c r="HL17" s="229"/>
      <c r="HM17" s="229"/>
      <c r="HN17" s="229"/>
      <c r="HO17" s="229"/>
      <c r="HP17" s="229"/>
      <c r="HQ17" s="229"/>
      <c r="HR17" s="229"/>
      <c r="HS17" s="229"/>
      <c r="HT17" s="229"/>
      <c r="HU17" s="229"/>
      <c r="HV17" s="229"/>
      <c r="HW17" s="229"/>
      <c r="HX17" s="229"/>
      <c r="HY17" s="229"/>
      <c r="HZ17" s="229"/>
      <c r="IA17" s="229"/>
      <c r="IB17" s="229"/>
      <c r="IC17" s="229"/>
      <c r="ID17" s="229"/>
      <c r="IE17" s="229"/>
      <c r="IF17" s="229"/>
      <c r="IG17" s="229"/>
      <c r="IH17" s="229"/>
      <c r="II17" s="229"/>
      <c r="IJ17" s="229"/>
      <c r="IK17" s="229"/>
      <c r="IL17" s="229"/>
      <c r="IM17" s="229"/>
      <c r="IN17" s="229"/>
      <c r="IO17" s="229"/>
      <c r="IP17" s="229"/>
      <c r="IQ17" s="229"/>
      <c r="IR17" s="229"/>
      <c r="IS17" s="229"/>
      <c r="IT17" s="229"/>
      <c r="IU17" s="229"/>
      <c r="IV17" s="229"/>
      <c r="IW17" s="229"/>
      <c r="IX17" s="229"/>
      <c r="IY17" s="229"/>
      <c r="IZ17" s="229"/>
      <c r="JA17" s="229"/>
      <c r="JB17" s="229"/>
      <c r="JC17" s="229"/>
      <c r="JD17" s="229"/>
      <c r="JE17" s="229"/>
      <c r="JF17" s="229"/>
      <c r="JG17" s="229">
        <v>16358870</v>
      </c>
      <c r="JH17" s="229">
        <v>17892052</v>
      </c>
      <c r="JI17" s="229">
        <v>17892052</v>
      </c>
      <c r="JJ17" s="229"/>
      <c r="JK17" s="229"/>
      <c r="JL17" s="229"/>
      <c r="JM17" s="229">
        <v>18743098</v>
      </c>
      <c r="JN17" s="229">
        <v>22988073</v>
      </c>
      <c r="JO17" s="229">
        <v>20394098</v>
      </c>
      <c r="JP17" s="229"/>
      <c r="JQ17" s="229"/>
      <c r="JR17" s="229"/>
      <c r="JS17" s="240"/>
      <c r="JT17" s="240"/>
      <c r="JU17" s="240"/>
      <c r="JV17" s="240"/>
      <c r="JW17" s="240"/>
      <c r="JX17" s="240"/>
      <c r="JY17" s="240"/>
      <c r="JZ17" s="240"/>
      <c r="KA17" s="240"/>
      <c r="KB17" s="240"/>
      <c r="KC17" s="240"/>
      <c r="KD17" s="240"/>
      <c r="KE17" s="240"/>
      <c r="KF17" s="240"/>
      <c r="KG17" s="240"/>
      <c r="KH17" s="240"/>
      <c r="KI17" s="240"/>
      <c r="KJ17" s="240"/>
      <c r="KK17" s="240"/>
      <c r="KL17" s="240"/>
      <c r="KM17" s="240"/>
      <c r="KN17" s="240"/>
      <c r="KO17" s="240"/>
      <c r="KP17" s="240"/>
      <c r="KQ17" s="240"/>
      <c r="KR17" s="240"/>
      <c r="KS17" s="240"/>
      <c r="KT17" s="240"/>
      <c r="KU17" s="240"/>
      <c r="KV17" s="240"/>
      <c r="KW17" s="229"/>
      <c r="KX17" s="229"/>
      <c r="KY17" s="229"/>
      <c r="KZ17" s="229"/>
      <c r="LA17" s="229"/>
      <c r="LB17" s="229"/>
      <c r="LC17" s="229">
        <v>759054</v>
      </c>
      <c r="LD17" s="229">
        <v>759054</v>
      </c>
      <c r="LE17" s="229">
        <v>759054</v>
      </c>
      <c r="LF17" s="229"/>
      <c r="LG17" s="229"/>
      <c r="LH17" s="229"/>
      <c r="LI17" s="229"/>
      <c r="LJ17" s="229"/>
      <c r="LK17" s="229"/>
      <c r="LL17" s="229">
        <v>48986500</v>
      </c>
      <c r="LM17" s="229">
        <v>48986500</v>
      </c>
      <c r="LN17" s="229">
        <v>18986500</v>
      </c>
      <c r="LO17" s="229"/>
      <c r="LP17" s="229"/>
      <c r="LQ17" s="229"/>
      <c r="LR17" s="229"/>
      <c r="LS17" s="229"/>
      <c r="LT17" s="229"/>
      <c r="LU17" s="229"/>
      <c r="LV17" s="229"/>
      <c r="LW17" s="229"/>
      <c r="LX17" s="229"/>
      <c r="LY17" s="229"/>
      <c r="LZ17" s="229"/>
      <c r="MA17" s="229"/>
      <c r="MB17" s="229"/>
      <c r="MC17" s="229"/>
      <c r="MD17" s="229">
        <v>4690164</v>
      </c>
      <c r="ME17" s="229">
        <f>4690164+3600790+972213-92126-24874</f>
        <v>9146167</v>
      </c>
      <c r="MF17" s="229">
        <v>9146007</v>
      </c>
      <c r="MG17" s="229"/>
      <c r="MH17" s="229">
        <f>376000+101520+69720+18825-376000-101520</f>
        <v>88545</v>
      </c>
      <c r="MI17" s="229">
        <v>88544</v>
      </c>
      <c r="MJ17" s="229"/>
      <c r="MK17" s="229"/>
      <c r="ML17" s="229"/>
      <c r="MM17" s="229"/>
      <c r="MN17" s="229"/>
      <c r="MO17" s="229"/>
      <c r="MP17" s="229"/>
      <c r="MQ17" s="229"/>
      <c r="MR17" s="229"/>
      <c r="MS17" s="229"/>
      <c r="MT17" s="229"/>
      <c r="MU17" s="229"/>
      <c r="MV17" s="229"/>
      <c r="MW17" s="229"/>
      <c r="MX17" s="229"/>
      <c r="MY17" s="663">
        <f t="shared" si="0"/>
        <v>174757458</v>
      </c>
      <c r="MZ17" s="663">
        <f t="shared" si="1"/>
        <v>130277202</v>
      </c>
      <c r="NA17" s="663">
        <f t="shared" si="2"/>
        <v>0</v>
      </c>
      <c r="NB17" s="663">
        <f t="shared" si="3"/>
        <v>0</v>
      </c>
      <c r="NC17" s="663"/>
      <c r="ND17" s="215">
        <v>475600396</v>
      </c>
      <c r="NE17" s="213" t="e">
        <f>+ND17-#REF!</f>
        <v>#REF!</v>
      </c>
    </row>
    <row r="18" spans="1:369" ht="21.75" customHeight="1" x14ac:dyDescent="0.25">
      <c r="A18" s="208" t="s">
        <v>201</v>
      </c>
      <c r="B18" s="217" t="s">
        <v>238</v>
      </c>
      <c r="C18" s="210" t="s">
        <v>210</v>
      </c>
      <c r="D18" s="229">
        <f>+D19</f>
        <v>0</v>
      </c>
      <c r="E18" s="229">
        <f t="shared" ref="E18:BP18" si="10">+E19</f>
        <v>0</v>
      </c>
      <c r="F18" s="229">
        <f t="shared" si="10"/>
        <v>0</v>
      </c>
      <c r="G18" s="229">
        <f t="shared" si="10"/>
        <v>0</v>
      </c>
      <c r="H18" s="229">
        <f t="shared" si="10"/>
        <v>0</v>
      </c>
      <c r="I18" s="229">
        <f t="shared" si="10"/>
        <v>0</v>
      </c>
      <c r="J18" s="229">
        <f t="shared" si="10"/>
        <v>0</v>
      </c>
      <c r="K18" s="229">
        <f t="shared" si="10"/>
        <v>0</v>
      </c>
      <c r="L18" s="229">
        <f t="shared" si="10"/>
        <v>0</v>
      </c>
      <c r="M18" s="229">
        <f t="shared" si="10"/>
        <v>0</v>
      </c>
      <c r="N18" s="229">
        <f t="shared" si="10"/>
        <v>0</v>
      </c>
      <c r="O18" s="229">
        <f t="shared" si="10"/>
        <v>0</v>
      </c>
      <c r="P18" s="229">
        <f t="shared" si="10"/>
        <v>0</v>
      </c>
      <c r="Q18" s="229">
        <f t="shared" si="10"/>
        <v>0</v>
      </c>
      <c r="R18" s="229">
        <f t="shared" si="10"/>
        <v>0</v>
      </c>
      <c r="S18" s="229">
        <f t="shared" si="10"/>
        <v>0</v>
      </c>
      <c r="T18" s="229">
        <f t="shared" si="10"/>
        <v>0</v>
      </c>
      <c r="U18" s="229">
        <f t="shared" si="10"/>
        <v>0</v>
      </c>
      <c r="V18" s="229">
        <f t="shared" si="10"/>
        <v>0</v>
      </c>
      <c r="W18" s="229">
        <f t="shared" si="10"/>
        <v>0</v>
      </c>
      <c r="X18" s="229">
        <f t="shared" si="10"/>
        <v>0</v>
      </c>
      <c r="Y18" s="229">
        <f t="shared" si="10"/>
        <v>0</v>
      </c>
      <c r="Z18" s="229">
        <f t="shared" si="10"/>
        <v>0</v>
      </c>
      <c r="AA18" s="229">
        <f t="shared" si="10"/>
        <v>0</v>
      </c>
      <c r="AB18" s="229">
        <f t="shared" si="10"/>
        <v>0</v>
      </c>
      <c r="AC18" s="229">
        <f t="shared" si="10"/>
        <v>0</v>
      </c>
      <c r="AD18" s="229">
        <f t="shared" si="10"/>
        <v>0</v>
      </c>
      <c r="AE18" s="229">
        <f t="shared" si="10"/>
        <v>0</v>
      </c>
      <c r="AF18" s="229">
        <f t="shared" si="10"/>
        <v>0</v>
      </c>
      <c r="AG18" s="229">
        <f t="shared" si="10"/>
        <v>0</v>
      </c>
      <c r="AH18" s="229">
        <f t="shared" si="10"/>
        <v>2000000</v>
      </c>
      <c r="AI18" s="229">
        <f t="shared" si="10"/>
        <v>3690750</v>
      </c>
      <c r="AJ18" s="229">
        <f t="shared" si="10"/>
        <v>3500000</v>
      </c>
      <c r="AK18" s="229">
        <f t="shared" si="10"/>
        <v>0</v>
      </c>
      <c r="AL18" s="229">
        <f t="shared" si="10"/>
        <v>0</v>
      </c>
      <c r="AM18" s="229">
        <f t="shared" si="10"/>
        <v>0</v>
      </c>
      <c r="AN18" s="229">
        <f t="shared" si="10"/>
        <v>0</v>
      </c>
      <c r="AO18" s="229">
        <f t="shared" si="10"/>
        <v>0</v>
      </c>
      <c r="AP18" s="229">
        <f t="shared" si="10"/>
        <v>0</v>
      </c>
      <c r="AQ18" s="229">
        <f t="shared" si="10"/>
        <v>0</v>
      </c>
      <c r="AR18" s="229">
        <f t="shared" si="10"/>
        <v>0</v>
      </c>
      <c r="AS18" s="229">
        <f t="shared" si="10"/>
        <v>0</v>
      </c>
      <c r="AT18" s="229">
        <f t="shared" si="10"/>
        <v>0</v>
      </c>
      <c r="AU18" s="229">
        <f t="shared" si="10"/>
        <v>0</v>
      </c>
      <c r="AV18" s="229">
        <f t="shared" si="10"/>
        <v>0</v>
      </c>
      <c r="AW18" s="229">
        <f t="shared" si="10"/>
        <v>0</v>
      </c>
      <c r="AX18" s="229">
        <f t="shared" si="10"/>
        <v>0</v>
      </c>
      <c r="AY18" s="229">
        <f t="shared" si="10"/>
        <v>0</v>
      </c>
      <c r="AZ18" s="229">
        <f t="shared" si="10"/>
        <v>0</v>
      </c>
      <c r="BA18" s="229">
        <f t="shared" si="10"/>
        <v>0</v>
      </c>
      <c r="BB18" s="229">
        <f t="shared" si="10"/>
        <v>0</v>
      </c>
      <c r="BC18" s="229">
        <f t="shared" si="10"/>
        <v>0</v>
      </c>
      <c r="BD18" s="229">
        <f t="shared" si="10"/>
        <v>0</v>
      </c>
      <c r="BE18" s="229">
        <f t="shared" si="10"/>
        <v>0</v>
      </c>
      <c r="BF18" s="229">
        <f t="shared" si="10"/>
        <v>0</v>
      </c>
      <c r="BG18" s="229">
        <f t="shared" si="10"/>
        <v>0</v>
      </c>
      <c r="BH18" s="229">
        <f t="shared" si="10"/>
        <v>0</v>
      </c>
      <c r="BI18" s="229">
        <f t="shared" si="10"/>
        <v>0</v>
      </c>
      <c r="BJ18" s="229">
        <f t="shared" si="10"/>
        <v>0</v>
      </c>
      <c r="BK18" s="229">
        <f t="shared" si="10"/>
        <v>0</v>
      </c>
      <c r="BL18" s="229">
        <f t="shared" si="10"/>
        <v>0</v>
      </c>
      <c r="BM18" s="229">
        <f t="shared" si="10"/>
        <v>0</v>
      </c>
      <c r="BN18" s="229">
        <f t="shared" si="10"/>
        <v>0</v>
      </c>
      <c r="BO18" s="229">
        <f t="shared" si="10"/>
        <v>0</v>
      </c>
      <c r="BP18" s="229">
        <f t="shared" si="10"/>
        <v>0</v>
      </c>
      <c r="BQ18" s="229">
        <f t="shared" ref="BQ18:EB18" si="11">+BQ19</f>
        <v>0</v>
      </c>
      <c r="BR18" s="229">
        <f t="shared" si="11"/>
        <v>0</v>
      </c>
      <c r="BS18" s="229">
        <f t="shared" si="11"/>
        <v>0</v>
      </c>
      <c r="BT18" s="229">
        <f t="shared" si="11"/>
        <v>0</v>
      </c>
      <c r="BU18" s="229">
        <f t="shared" si="11"/>
        <v>0</v>
      </c>
      <c r="BV18" s="229">
        <f t="shared" si="11"/>
        <v>0</v>
      </c>
      <c r="BW18" s="229">
        <f t="shared" si="11"/>
        <v>0</v>
      </c>
      <c r="BX18" s="229">
        <f t="shared" si="11"/>
        <v>0</v>
      </c>
      <c r="BY18" s="229">
        <f t="shared" si="11"/>
        <v>0</v>
      </c>
      <c r="BZ18" s="229">
        <f t="shared" si="11"/>
        <v>0</v>
      </c>
      <c r="CA18" s="229">
        <f t="shared" si="11"/>
        <v>0</v>
      </c>
      <c r="CB18" s="229">
        <f t="shared" si="11"/>
        <v>0</v>
      </c>
      <c r="CC18" s="229">
        <f t="shared" si="11"/>
        <v>0</v>
      </c>
      <c r="CD18" s="229">
        <f t="shared" si="11"/>
        <v>0</v>
      </c>
      <c r="CE18" s="229">
        <f t="shared" si="11"/>
        <v>0</v>
      </c>
      <c r="CF18" s="229">
        <f t="shared" si="11"/>
        <v>0</v>
      </c>
      <c r="CG18" s="229">
        <f t="shared" si="11"/>
        <v>0</v>
      </c>
      <c r="CH18" s="229">
        <f t="shared" si="11"/>
        <v>0</v>
      </c>
      <c r="CI18" s="229">
        <f t="shared" si="11"/>
        <v>0</v>
      </c>
      <c r="CJ18" s="229">
        <f t="shared" si="11"/>
        <v>0</v>
      </c>
      <c r="CK18" s="229">
        <f t="shared" si="11"/>
        <v>0</v>
      </c>
      <c r="CL18" s="229">
        <f t="shared" si="11"/>
        <v>0</v>
      </c>
      <c r="CM18" s="229">
        <f t="shared" si="11"/>
        <v>0</v>
      </c>
      <c r="CN18" s="229">
        <f t="shared" si="11"/>
        <v>0</v>
      </c>
      <c r="CO18" s="229">
        <f t="shared" si="11"/>
        <v>0</v>
      </c>
      <c r="CP18" s="229">
        <f t="shared" si="11"/>
        <v>0</v>
      </c>
      <c r="CQ18" s="229">
        <f t="shared" si="11"/>
        <v>0</v>
      </c>
      <c r="CR18" s="229">
        <f t="shared" si="11"/>
        <v>0</v>
      </c>
      <c r="CS18" s="229">
        <f t="shared" si="11"/>
        <v>0</v>
      </c>
      <c r="CT18" s="229">
        <f t="shared" si="11"/>
        <v>0</v>
      </c>
      <c r="CU18" s="229">
        <f t="shared" si="11"/>
        <v>0</v>
      </c>
      <c r="CV18" s="229">
        <f t="shared" si="11"/>
        <v>0</v>
      </c>
      <c r="CW18" s="229">
        <f t="shared" si="11"/>
        <v>0</v>
      </c>
      <c r="CX18" s="229">
        <f t="shared" si="11"/>
        <v>0</v>
      </c>
      <c r="CY18" s="229">
        <f t="shared" si="11"/>
        <v>0</v>
      </c>
      <c r="CZ18" s="229">
        <f t="shared" si="11"/>
        <v>0</v>
      </c>
      <c r="DA18" s="229">
        <f t="shared" si="11"/>
        <v>0</v>
      </c>
      <c r="DB18" s="229">
        <f t="shared" si="11"/>
        <v>0</v>
      </c>
      <c r="DC18" s="229">
        <f t="shared" si="11"/>
        <v>0</v>
      </c>
      <c r="DD18" s="229">
        <f t="shared" si="11"/>
        <v>0</v>
      </c>
      <c r="DE18" s="229">
        <f t="shared" si="11"/>
        <v>0</v>
      </c>
      <c r="DF18" s="229">
        <f t="shared" si="11"/>
        <v>0</v>
      </c>
      <c r="DG18" s="229">
        <f t="shared" si="11"/>
        <v>0</v>
      </c>
      <c r="DH18" s="229">
        <f t="shared" si="11"/>
        <v>0</v>
      </c>
      <c r="DI18" s="229">
        <f t="shared" si="11"/>
        <v>0</v>
      </c>
      <c r="DJ18" s="229">
        <f t="shared" si="11"/>
        <v>0</v>
      </c>
      <c r="DK18" s="229">
        <f t="shared" si="11"/>
        <v>0</v>
      </c>
      <c r="DL18" s="229">
        <f t="shared" si="11"/>
        <v>0</v>
      </c>
      <c r="DM18" s="229">
        <f t="shared" si="11"/>
        <v>0</v>
      </c>
      <c r="DN18" s="229">
        <f t="shared" si="11"/>
        <v>0</v>
      </c>
      <c r="DO18" s="229">
        <f t="shared" si="11"/>
        <v>0</v>
      </c>
      <c r="DP18" s="229">
        <f t="shared" si="11"/>
        <v>0</v>
      </c>
      <c r="DQ18" s="229">
        <f t="shared" si="11"/>
        <v>0</v>
      </c>
      <c r="DR18" s="229">
        <f t="shared" si="11"/>
        <v>0</v>
      </c>
      <c r="DS18" s="229">
        <f t="shared" si="11"/>
        <v>0</v>
      </c>
      <c r="DT18" s="229">
        <f t="shared" si="11"/>
        <v>0</v>
      </c>
      <c r="DU18" s="229">
        <f t="shared" si="11"/>
        <v>0</v>
      </c>
      <c r="DV18" s="229">
        <f t="shared" si="11"/>
        <v>0</v>
      </c>
      <c r="DW18" s="229">
        <f t="shared" si="11"/>
        <v>0</v>
      </c>
      <c r="DX18" s="229">
        <f t="shared" si="11"/>
        <v>0</v>
      </c>
      <c r="DY18" s="229">
        <f t="shared" si="11"/>
        <v>0</v>
      </c>
      <c r="DZ18" s="229">
        <f t="shared" si="11"/>
        <v>0</v>
      </c>
      <c r="EA18" s="229">
        <f t="shared" si="11"/>
        <v>0</v>
      </c>
      <c r="EB18" s="229">
        <f t="shared" si="11"/>
        <v>0</v>
      </c>
      <c r="EC18" s="229">
        <f t="shared" ref="EC18:GQ18" si="12">+EC19</f>
        <v>0</v>
      </c>
      <c r="ED18" s="229">
        <f t="shared" si="12"/>
        <v>0</v>
      </c>
      <c r="EE18" s="229">
        <f t="shared" si="12"/>
        <v>0</v>
      </c>
      <c r="EF18" s="229">
        <f t="shared" si="12"/>
        <v>0</v>
      </c>
      <c r="EG18" s="229">
        <f t="shared" si="12"/>
        <v>0</v>
      </c>
      <c r="EH18" s="229">
        <f t="shared" si="12"/>
        <v>0</v>
      </c>
      <c r="EI18" s="229">
        <f t="shared" si="12"/>
        <v>0</v>
      </c>
      <c r="EJ18" s="229">
        <f t="shared" si="12"/>
        <v>0</v>
      </c>
      <c r="EK18" s="229">
        <f t="shared" si="12"/>
        <v>0</v>
      </c>
      <c r="EL18" s="229">
        <f t="shared" si="12"/>
        <v>0</v>
      </c>
      <c r="EM18" s="229">
        <f t="shared" si="12"/>
        <v>0</v>
      </c>
      <c r="EN18" s="229">
        <f t="shared" si="12"/>
        <v>0</v>
      </c>
      <c r="EO18" s="229">
        <f t="shared" si="12"/>
        <v>0</v>
      </c>
      <c r="EP18" s="229">
        <f t="shared" si="12"/>
        <v>0</v>
      </c>
      <c r="EQ18" s="229">
        <f t="shared" si="12"/>
        <v>0</v>
      </c>
      <c r="ER18" s="229">
        <f t="shared" si="12"/>
        <v>0</v>
      </c>
      <c r="ES18" s="229">
        <f t="shared" si="12"/>
        <v>0</v>
      </c>
      <c r="ET18" s="229">
        <f t="shared" si="12"/>
        <v>0</v>
      </c>
      <c r="EU18" s="229">
        <f t="shared" si="12"/>
        <v>0</v>
      </c>
      <c r="EV18" s="229">
        <f t="shared" si="12"/>
        <v>0</v>
      </c>
      <c r="EW18" s="229">
        <f t="shared" si="12"/>
        <v>0</v>
      </c>
      <c r="EX18" s="229">
        <f t="shared" si="12"/>
        <v>0</v>
      </c>
      <c r="EY18" s="229">
        <f t="shared" si="12"/>
        <v>0</v>
      </c>
      <c r="EZ18" s="229">
        <f t="shared" si="12"/>
        <v>0</v>
      </c>
      <c r="FA18" s="229">
        <f t="shared" si="12"/>
        <v>0</v>
      </c>
      <c r="FB18" s="229">
        <f t="shared" si="12"/>
        <v>0</v>
      </c>
      <c r="FC18" s="229">
        <f t="shared" si="12"/>
        <v>0</v>
      </c>
      <c r="FD18" s="229">
        <f t="shared" si="12"/>
        <v>0</v>
      </c>
      <c r="FE18" s="229">
        <f t="shared" si="12"/>
        <v>0</v>
      </c>
      <c r="FF18" s="229">
        <f t="shared" si="12"/>
        <v>0</v>
      </c>
      <c r="FG18" s="229">
        <f t="shared" si="12"/>
        <v>0</v>
      </c>
      <c r="FH18" s="229">
        <f t="shared" si="12"/>
        <v>0</v>
      </c>
      <c r="FI18" s="229">
        <f t="shared" si="12"/>
        <v>0</v>
      </c>
      <c r="FJ18" s="229">
        <f t="shared" si="12"/>
        <v>0</v>
      </c>
      <c r="FK18" s="229">
        <f t="shared" si="12"/>
        <v>0</v>
      </c>
      <c r="FL18" s="229">
        <f t="shared" si="12"/>
        <v>0</v>
      </c>
      <c r="FM18" s="229">
        <f t="shared" si="12"/>
        <v>0</v>
      </c>
      <c r="FN18" s="229">
        <f t="shared" si="12"/>
        <v>0</v>
      </c>
      <c r="FO18" s="229">
        <f t="shared" si="12"/>
        <v>0</v>
      </c>
      <c r="FP18" s="229">
        <f t="shared" si="12"/>
        <v>0</v>
      </c>
      <c r="FQ18" s="229">
        <f t="shared" si="12"/>
        <v>0</v>
      </c>
      <c r="FR18" s="229">
        <f t="shared" si="12"/>
        <v>0</v>
      </c>
      <c r="FS18" s="229">
        <f t="shared" si="12"/>
        <v>0</v>
      </c>
      <c r="FT18" s="229">
        <f t="shared" si="12"/>
        <v>0</v>
      </c>
      <c r="FU18" s="229">
        <f t="shared" si="12"/>
        <v>0</v>
      </c>
      <c r="FV18" s="229">
        <f t="shared" si="12"/>
        <v>0</v>
      </c>
      <c r="FW18" s="229">
        <f t="shared" si="12"/>
        <v>0</v>
      </c>
      <c r="FX18" s="229">
        <f t="shared" si="12"/>
        <v>0</v>
      </c>
      <c r="FY18" s="229">
        <f t="shared" si="12"/>
        <v>0</v>
      </c>
      <c r="FZ18" s="229">
        <f t="shared" si="12"/>
        <v>0</v>
      </c>
      <c r="GA18" s="229">
        <f t="shared" si="12"/>
        <v>0</v>
      </c>
      <c r="GB18" s="229">
        <f t="shared" si="12"/>
        <v>0</v>
      </c>
      <c r="GC18" s="229">
        <f t="shared" si="12"/>
        <v>0</v>
      </c>
      <c r="GD18" s="229">
        <f t="shared" si="12"/>
        <v>0</v>
      </c>
      <c r="GE18" s="229">
        <f t="shared" si="12"/>
        <v>0</v>
      </c>
      <c r="GF18" s="229">
        <f t="shared" si="12"/>
        <v>0</v>
      </c>
      <c r="GG18" s="229">
        <f t="shared" si="12"/>
        <v>0</v>
      </c>
      <c r="GH18" s="229">
        <f t="shared" si="12"/>
        <v>0</v>
      </c>
      <c r="GI18" s="229">
        <f t="shared" si="12"/>
        <v>0</v>
      </c>
      <c r="GJ18" s="229">
        <f t="shared" si="12"/>
        <v>0</v>
      </c>
      <c r="GK18" s="229">
        <f t="shared" si="12"/>
        <v>0</v>
      </c>
      <c r="GL18" s="229">
        <f t="shared" si="12"/>
        <v>0</v>
      </c>
      <c r="GM18" s="229">
        <f t="shared" si="12"/>
        <v>0</v>
      </c>
      <c r="GN18" s="229">
        <f t="shared" si="12"/>
        <v>0</v>
      </c>
      <c r="GO18" s="229">
        <f t="shared" si="12"/>
        <v>0</v>
      </c>
      <c r="GP18" s="229">
        <f t="shared" si="12"/>
        <v>0</v>
      </c>
      <c r="GQ18" s="229">
        <f t="shared" si="12"/>
        <v>0</v>
      </c>
      <c r="GR18" s="229">
        <f t="shared" ref="GR18:JF18" si="13">+GR19</f>
        <v>0</v>
      </c>
      <c r="GS18" s="229">
        <f t="shared" si="13"/>
        <v>0</v>
      </c>
      <c r="GT18" s="229">
        <f t="shared" si="13"/>
        <v>0</v>
      </c>
      <c r="GU18" s="229">
        <f t="shared" si="13"/>
        <v>0</v>
      </c>
      <c r="GV18" s="229">
        <f t="shared" si="13"/>
        <v>0</v>
      </c>
      <c r="GW18" s="229">
        <f t="shared" si="13"/>
        <v>0</v>
      </c>
      <c r="GX18" s="229">
        <f t="shared" si="13"/>
        <v>0</v>
      </c>
      <c r="GY18" s="229">
        <f t="shared" si="13"/>
        <v>0</v>
      </c>
      <c r="GZ18" s="229">
        <f t="shared" si="13"/>
        <v>0</v>
      </c>
      <c r="HA18" s="229">
        <f t="shared" si="13"/>
        <v>0</v>
      </c>
      <c r="HB18" s="229">
        <f t="shared" si="13"/>
        <v>0</v>
      </c>
      <c r="HC18" s="229">
        <f t="shared" si="13"/>
        <v>0</v>
      </c>
      <c r="HD18" s="229">
        <f t="shared" si="13"/>
        <v>0</v>
      </c>
      <c r="HE18" s="229">
        <f t="shared" si="13"/>
        <v>0</v>
      </c>
      <c r="HF18" s="229">
        <f t="shared" si="13"/>
        <v>0</v>
      </c>
      <c r="HG18" s="229">
        <f t="shared" si="13"/>
        <v>0</v>
      </c>
      <c r="HH18" s="229">
        <f t="shared" si="13"/>
        <v>0</v>
      </c>
      <c r="HI18" s="229">
        <f t="shared" si="13"/>
        <v>0</v>
      </c>
      <c r="HJ18" s="229">
        <f t="shared" si="13"/>
        <v>0</v>
      </c>
      <c r="HK18" s="229">
        <f t="shared" si="13"/>
        <v>0</v>
      </c>
      <c r="HL18" s="229">
        <f t="shared" si="13"/>
        <v>0</v>
      </c>
      <c r="HM18" s="229">
        <f t="shared" si="13"/>
        <v>0</v>
      </c>
      <c r="HN18" s="229">
        <f t="shared" si="13"/>
        <v>0</v>
      </c>
      <c r="HO18" s="229">
        <f t="shared" si="13"/>
        <v>0</v>
      </c>
      <c r="HP18" s="229">
        <f t="shared" si="13"/>
        <v>0</v>
      </c>
      <c r="HQ18" s="229">
        <f t="shared" si="13"/>
        <v>0</v>
      </c>
      <c r="HR18" s="229">
        <f t="shared" si="13"/>
        <v>0</v>
      </c>
      <c r="HS18" s="229">
        <f t="shared" si="13"/>
        <v>0</v>
      </c>
      <c r="HT18" s="229">
        <f t="shared" si="13"/>
        <v>0</v>
      </c>
      <c r="HU18" s="229">
        <f t="shared" si="13"/>
        <v>0</v>
      </c>
      <c r="HV18" s="229">
        <f t="shared" si="13"/>
        <v>0</v>
      </c>
      <c r="HW18" s="229">
        <f t="shared" si="13"/>
        <v>0</v>
      </c>
      <c r="HX18" s="229">
        <f t="shared" si="13"/>
        <v>0</v>
      </c>
      <c r="HY18" s="229">
        <f t="shared" si="13"/>
        <v>0</v>
      </c>
      <c r="HZ18" s="229">
        <f t="shared" si="13"/>
        <v>0</v>
      </c>
      <c r="IA18" s="229">
        <f t="shared" si="13"/>
        <v>0</v>
      </c>
      <c r="IB18" s="229">
        <f t="shared" si="13"/>
        <v>0</v>
      </c>
      <c r="IC18" s="229">
        <f t="shared" si="13"/>
        <v>0</v>
      </c>
      <c r="ID18" s="229">
        <f t="shared" si="13"/>
        <v>0</v>
      </c>
      <c r="IE18" s="229">
        <f t="shared" si="13"/>
        <v>0</v>
      </c>
      <c r="IF18" s="229">
        <f t="shared" si="13"/>
        <v>0</v>
      </c>
      <c r="IG18" s="229">
        <f t="shared" si="13"/>
        <v>0</v>
      </c>
      <c r="IH18" s="229">
        <f t="shared" si="13"/>
        <v>0</v>
      </c>
      <c r="II18" s="229">
        <f t="shared" si="13"/>
        <v>0</v>
      </c>
      <c r="IJ18" s="229">
        <f t="shared" si="13"/>
        <v>0</v>
      </c>
      <c r="IK18" s="229">
        <f t="shared" si="13"/>
        <v>0</v>
      </c>
      <c r="IL18" s="229">
        <f t="shared" si="13"/>
        <v>0</v>
      </c>
      <c r="IM18" s="229">
        <f t="shared" si="13"/>
        <v>0</v>
      </c>
      <c r="IN18" s="229">
        <f t="shared" si="13"/>
        <v>0</v>
      </c>
      <c r="IO18" s="229">
        <f t="shared" si="13"/>
        <v>0</v>
      </c>
      <c r="IP18" s="229">
        <f t="shared" si="13"/>
        <v>0</v>
      </c>
      <c r="IQ18" s="229">
        <f t="shared" si="13"/>
        <v>0</v>
      </c>
      <c r="IR18" s="229">
        <f t="shared" si="13"/>
        <v>0</v>
      </c>
      <c r="IS18" s="229">
        <f t="shared" si="13"/>
        <v>0</v>
      </c>
      <c r="IT18" s="229">
        <f t="shared" si="13"/>
        <v>0</v>
      </c>
      <c r="IU18" s="229">
        <f t="shared" si="13"/>
        <v>0</v>
      </c>
      <c r="IV18" s="229">
        <f t="shared" si="13"/>
        <v>0</v>
      </c>
      <c r="IW18" s="229">
        <f t="shared" si="13"/>
        <v>0</v>
      </c>
      <c r="IX18" s="229">
        <f t="shared" si="13"/>
        <v>0</v>
      </c>
      <c r="IY18" s="229">
        <f t="shared" si="13"/>
        <v>0</v>
      </c>
      <c r="IZ18" s="229">
        <f t="shared" si="13"/>
        <v>0</v>
      </c>
      <c r="JA18" s="229">
        <f t="shared" si="13"/>
        <v>0</v>
      </c>
      <c r="JB18" s="229">
        <f t="shared" si="13"/>
        <v>0</v>
      </c>
      <c r="JC18" s="229">
        <f t="shared" si="13"/>
        <v>0</v>
      </c>
      <c r="JD18" s="229">
        <f t="shared" si="13"/>
        <v>0</v>
      </c>
      <c r="JE18" s="229">
        <f t="shared" si="13"/>
        <v>0</v>
      </c>
      <c r="JF18" s="229">
        <f t="shared" si="13"/>
        <v>0</v>
      </c>
      <c r="JG18" s="229">
        <f t="shared" ref="JG18:LR18" si="14">+JG19</f>
        <v>0</v>
      </c>
      <c r="JH18" s="229">
        <f t="shared" si="14"/>
        <v>0</v>
      </c>
      <c r="JI18" s="229">
        <f t="shared" si="14"/>
        <v>0</v>
      </c>
      <c r="JJ18" s="229">
        <f t="shared" si="14"/>
        <v>0</v>
      </c>
      <c r="JK18" s="229">
        <f t="shared" si="14"/>
        <v>0</v>
      </c>
      <c r="JL18" s="229">
        <f t="shared" si="14"/>
        <v>0</v>
      </c>
      <c r="JM18" s="229">
        <f t="shared" si="14"/>
        <v>0</v>
      </c>
      <c r="JN18" s="229">
        <f t="shared" si="14"/>
        <v>0</v>
      </c>
      <c r="JO18" s="229">
        <f t="shared" si="14"/>
        <v>0</v>
      </c>
      <c r="JP18" s="229">
        <f t="shared" si="14"/>
        <v>0</v>
      </c>
      <c r="JQ18" s="229">
        <f t="shared" si="14"/>
        <v>0</v>
      </c>
      <c r="JR18" s="229">
        <f t="shared" si="14"/>
        <v>0</v>
      </c>
      <c r="JS18" s="229">
        <f t="shared" si="14"/>
        <v>0</v>
      </c>
      <c r="JT18" s="229">
        <f t="shared" si="14"/>
        <v>0</v>
      </c>
      <c r="JU18" s="229">
        <f t="shared" si="14"/>
        <v>0</v>
      </c>
      <c r="JV18" s="229">
        <f t="shared" si="14"/>
        <v>0</v>
      </c>
      <c r="JW18" s="229">
        <f t="shared" si="14"/>
        <v>0</v>
      </c>
      <c r="JX18" s="229">
        <f t="shared" si="14"/>
        <v>0</v>
      </c>
      <c r="JY18" s="229">
        <f t="shared" si="14"/>
        <v>0</v>
      </c>
      <c r="JZ18" s="229">
        <f t="shared" si="14"/>
        <v>0</v>
      </c>
      <c r="KA18" s="229">
        <f t="shared" si="14"/>
        <v>0</v>
      </c>
      <c r="KB18" s="229">
        <f t="shared" si="14"/>
        <v>0</v>
      </c>
      <c r="KC18" s="229">
        <f t="shared" si="14"/>
        <v>0</v>
      </c>
      <c r="KD18" s="229">
        <f t="shared" si="14"/>
        <v>0</v>
      </c>
      <c r="KE18" s="229">
        <f t="shared" si="14"/>
        <v>0</v>
      </c>
      <c r="KF18" s="229">
        <f t="shared" si="14"/>
        <v>0</v>
      </c>
      <c r="KG18" s="229">
        <f t="shared" si="14"/>
        <v>0</v>
      </c>
      <c r="KH18" s="229">
        <f t="shared" si="14"/>
        <v>0</v>
      </c>
      <c r="KI18" s="229">
        <f t="shared" si="14"/>
        <v>0</v>
      </c>
      <c r="KJ18" s="229">
        <f t="shared" si="14"/>
        <v>0</v>
      </c>
      <c r="KK18" s="229">
        <f t="shared" si="14"/>
        <v>0</v>
      </c>
      <c r="KL18" s="229">
        <f t="shared" si="14"/>
        <v>0</v>
      </c>
      <c r="KM18" s="229">
        <f t="shared" si="14"/>
        <v>0</v>
      </c>
      <c r="KN18" s="229">
        <f t="shared" si="14"/>
        <v>0</v>
      </c>
      <c r="KO18" s="229">
        <f t="shared" si="14"/>
        <v>0</v>
      </c>
      <c r="KP18" s="229">
        <f t="shared" si="14"/>
        <v>0</v>
      </c>
      <c r="KQ18" s="229">
        <f t="shared" si="14"/>
        <v>0</v>
      </c>
      <c r="KR18" s="229">
        <f t="shared" si="14"/>
        <v>0</v>
      </c>
      <c r="KS18" s="229">
        <f t="shared" si="14"/>
        <v>0</v>
      </c>
      <c r="KT18" s="229">
        <f t="shared" si="14"/>
        <v>0</v>
      </c>
      <c r="KU18" s="229">
        <f t="shared" si="14"/>
        <v>1811551</v>
      </c>
      <c r="KV18" s="229">
        <f t="shared" si="14"/>
        <v>1811551</v>
      </c>
      <c r="KW18" s="229">
        <f t="shared" si="14"/>
        <v>0</v>
      </c>
      <c r="KX18" s="229">
        <f t="shared" si="14"/>
        <v>0</v>
      </c>
      <c r="KY18" s="229">
        <f t="shared" si="14"/>
        <v>0</v>
      </c>
      <c r="KZ18" s="229">
        <f t="shared" si="14"/>
        <v>0</v>
      </c>
      <c r="LA18" s="229">
        <f t="shared" si="14"/>
        <v>0</v>
      </c>
      <c r="LB18" s="229">
        <f t="shared" si="14"/>
        <v>0</v>
      </c>
      <c r="LC18" s="229">
        <f t="shared" si="14"/>
        <v>0</v>
      </c>
      <c r="LD18" s="229">
        <f t="shared" si="14"/>
        <v>0</v>
      </c>
      <c r="LE18" s="229">
        <f t="shared" si="14"/>
        <v>0</v>
      </c>
      <c r="LF18" s="229">
        <f t="shared" si="14"/>
        <v>0</v>
      </c>
      <c r="LG18" s="229">
        <f t="shared" si="14"/>
        <v>0</v>
      </c>
      <c r="LH18" s="229">
        <f t="shared" si="14"/>
        <v>0</v>
      </c>
      <c r="LI18" s="229">
        <f t="shared" si="14"/>
        <v>0</v>
      </c>
      <c r="LJ18" s="229">
        <f t="shared" si="14"/>
        <v>0</v>
      </c>
      <c r="LK18" s="229">
        <f t="shared" si="14"/>
        <v>0</v>
      </c>
      <c r="LL18" s="229">
        <f t="shared" si="14"/>
        <v>0</v>
      </c>
      <c r="LM18" s="229">
        <f t="shared" si="14"/>
        <v>0</v>
      </c>
      <c r="LN18" s="229">
        <f t="shared" si="14"/>
        <v>0</v>
      </c>
      <c r="LO18" s="229">
        <f t="shared" si="14"/>
        <v>0</v>
      </c>
      <c r="LP18" s="229">
        <f t="shared" si="14"/>
        <v>0</v>
      </c>
      <c r="LQ18" s="229">
        <f t="shared" si="14"/>
        <v>0</v>
      </c>
      <c r="LR18" s="229">
        <f t="shared" si="14"/>
        <v>0</v>
      </c>
      <c r="LS18" s="229">
        <f t="shared" ref="LS18:MX18" si="15">+LS19</f>
        <v>0</v>
      </c>
      <c r="LT18" s="229">
        <f t="shared" si="15"/>
        <v>0</v>
      </c>
      <c r="LU18" s="229">
        <f t="shared" si="15"/>
        <v>0</v>
      </c>
      <c r="LV18" s="229">
        <f t="shared" si="15"/>
        <v>0</v>
      </c>
      <c r="LW18" s="229">
        <f t="shared" si="15"/>
        <v>0</v>
      </c>
      <c r="LX18" s="229">
        <f t="shared" si="15"/>
        <v>0</v>
      </c>
      <c r="LY18" s="229">
        <f t="shared" si="15"/>
        <v>0</v>
      </c>
      <c r="LZ18" s="229">
        <f t="shared" si="15"/>
        <v>0</v>
      </c>
      <c r="MA18" s="229">
        <f t="shared" si="15"/>
        <v>0</v>
      </c>
      <c r="MB18" s="229">
        <f t="shared" si="15"/>
        <v>0</v>
      </c>
      <c r="MC18" s="229">
        <f t="shared" si="15"/>
        <v>0</v>
      </c>
      <c r="MD18" s="229">
        <f t="shared" si="15"/>
        <v>0</v>
      </c>
      <c r="ME18" s="229">
        <f t="shared" si="15"/>
        <v>0</v>
      </c>
      <c r="MF18" s="229">
        <f t="shared" si="15"/>
        <v>0</v>
      </c>
      <c r="MG18" s="229">
        <f t="shared" si="15"/>
        <v>0</v>
      </c>
      <c r="MH18" s="229">
        <f t="shared" si="15"/>
        <v>0</v>
      </c>
      <c r="MI18" s="229">
        <f t="shared" si="15"/>
        <v>0</v>
      </c>
      <c r="MJ18" s="229">
        <f t="shared" si="15"/>
        <v>0</v>
      </c>
      <c r="MK18" s="229">
        <f t="shared" si="15"/>
        <v>0</v>
      </c>
      <c r="ML18" s="229">
        <f t="shared" si="15"/>
        <v>0</v>
      </c>
      <c r="MM18" s="229">
        <f t="shared" si="15"/>
        <v>0</v>
      </c>
      <c r="MN18" s="229">
        <f t="shared" si="15"/>
        <v>0</v>
      </c>
      <c r="MO18" s="229">
        <f t="shared" si="15"/>
        <v>0</v>
      </c>
      <c r="MP18" s="229">
        <f t="shared" si="15"/>
        <v>0</v>
      </c>
      <c r="MQ18" s="229">
        <f t="shared" si="15"/>
        <v>0</v>
      </c>
      <c r="MR18" s="229">
        <f t="shared" si="15"/>
        <v>0</v>
      </c>
      <c r="MS18" s="229">
        <f t="shared" si="15"/>
        <v>0</v>
      </c>
      <c r="MT18" s="229">
        <f t="shared" si="15"/>
        <v>0</v>
      </c>
      <c r="MU18" s="229">
        <f t="shared" si="15"/>
        <v>0</v>
      </c>
      <c r="MV18" s="229">
        <f t="shared" si="15"/>
        <v>0</v>
      </c>
      <c r="MW18" s="229">
        <f t="shared" si="15"/>
        <v>0</v>
      </c>
      <c r="MX18" s="229">
        <f t="shared" si="15"/>
        <v>0</v>
      </c>
      <c r="MY18" s="663">
        <f>+E18+H18+K18+Q18++T18+W18+Z18+AC18+AF18+AO18+AR18+AU18+AX18+BA18+BD18+BG18+BJ18+BM18+BV18+BY18+CB18+CE18+CH18+CK18+CN18+CQ18+CT18+DC18+DF18+DI18+DL18+DR18+EA18+ED18+EG18+EJ18+EM18+EP18+ES18+EV18+FN18+FT18+GC18+GF18+GI18+GO18+GR18+HJ18+HM18+HP18+IM18+IJ18+IV18+IY18+JE18+JH18+JK18+JN18+JT18+JZ18+KC18+LA18+LD18+LG18+LJ18+LM18+LP18+LS18+LV18+ME18+MH18+MQ18+MT18+GL18+GU18+KU18</f>
        <v>1811551</v>
      </c>
      <c r="MZ18" s="663">
        <f>+F18+I18+L18+R18++U18+X18+AA18+AD18+AG18+AP18+AS18+AV18+AY18+BB18+BE18+BH18+BK18+BN18+BW18+BZ18+CC18+CF18+CI18+CL18+CO18+CR18+CU18+DD18+DG18+DJ18+DM18+DS18+EB18+EE18+EH18+EK18+EN18+EQ18+ET18+EW18+FO18+FU18+GD18+GG18+GJ18+GP18+GS18+HK18+HN18+HQ18+IN18+IK18+IW18+IZ18+JF18+JI18+JL18+JO18+JU18+KA18+KD18+LB18+LE18+LH18+LK18+LN18+LQ18+LT18+LW18+MF18+MI18+MR18+MU18+GM18+GV18+KV18</f>
        <v>1811551</v>
      </c>
      <c r="NA18" s="663">
        <f t="shared" si="2"/>
        <v>3690750</v>
      </c>
      <c r="NB18" s="663">
        <f t="shared" si="3"/>
        <v>3500000</v>
      </c>
      <c r="NC18" s="663"/>
      <c r="NE18" s="213" t="e">
        <f>SUM(NE10:RM17)</f>
        <v>#REF!</v>
      </c>
    </row>
    <row r="19" spans="1:369" ht="21.75" customHeight="1" x14ac:dyDescent="0.25">
      <c r="A19" s="208" t="s">
        <v>228</v>
      </c>
      <c r="B19" s="218" t="s">
        <v>541</v>
      </c>
      <c r="C19" s="210"/>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41"/>
      <c r="AF19" s="241"/>
      <c r="AG19" s="241"/>
      <c r="AH19" s="241">
        <f>+'4.sz.Felhalm.c.pe.átadás'!E10</f>
        <v>2000000</v>
      </c>
      <c r="AI19" s="241">
        <f>2000000+599400+235100+700000+156250</f>
        <v>3690750</v>
      </c>
      <c r="AJ19" s="241">
        <v>3500000</v>
      </c>
      <c r="AK19" s="241"/>
      <c r="AL19" s="241"/>
      <c r="AM19" s="241"/>
      <c r="AN19" s="241"/>
      <c r="AO19" s="241"/>
      <c r="AP19" s="241"/>
      <c r="AQ19" s="241"/>
      <c r="AR19" s="241"/>
      <c r="AS19" s="241"/>
      <c r="AT19" s="241"/>
      <c r="AU19" s="241"/>
      <c r="AV19" s="241"/>
      <c r="AW19" s="241"/>
      <c r="AX19" s="241"/>
      <c r="AY19" s="241"/>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229"/>
      <c r="CO19" s="229"/>
      <c r="CP19" s="229"/>
      <c r="CQ19" s="229"/>
      <c r="CR19" s="229"/>
      <c r="CS19" s="229"/>
      <c r="CT19" s="229"/>
      <c r="CU19" s="229"/>
      <c r="CV19" s="229"/>
      <c r="CW19" s="229"/>
      <c r="CX19" s="229"/>
      <c r="CY19" s="229"/>
      <c r="CZ19" s="229"/>
      <c r="DA19" s="229"/>
      <c r="DB19" s="229"/>
      <c r="DC19" s="229"/>
      <c r="DD19" s="229"/>
      <c r="DE19" s="229"/>
      <c r="DF19" s="229"/>
      <c r="DG19" s="229"/>
      <c r="DH19" s="229"/>
      <c r="DI19" s="229"/>
      <c r="DJ19" s="229"/>
      <c r="DK19" s="241"/>
      <c r="DL19" s="241"/>
      <c r="DM19" s="241"/>
      <c r="DN19" s="229"/>
      <c r="DO19" s="229"/>
      <c r="DP19" s="229"/>
      <c r="DQ19" s="229"/>
      <c r="DR19" s="229"/>
      <c r="DS19" s="229"/>
      <c r="DT19" s="229"/>
      <c r="DU19" s="229"/>
      <c r="DV19" s="229"/>
      <c r="DW19" s="229"/>
      <c r="DX19" s="229"/>
      <c r="DY19" s="229"/>
      <c r="DZ19" s="229"/>
      <c r="EA19" s="229"/>
      <c r="EB19" s="229"/>
      <c r="EC19" s="229"/>
      <c r="ED19" s="229"/>
      <c r="EE19" s="229"/>
      <c r="EF19" s="229"/>
      <c r="EG19" s="229"/>
      <c r="EH19" s="229"/>
      <c r="EI19" s="229"/>
      <c r="EJ19" s="229"/>
      <c r="EK19" s="229"/>
      <c r="EL19" s="229"/>
      <c r="EM19" s="229"/>
      <c r="EN19" s="229"/>
      <c r="EO19" s="229"/>
      <c r="EP19" s="229"/>
      <c r="EQ19" s="229"/>
      <c r="ER19" s="229"/>
      <c r="ES19" s="229"/>
      <c r="ET19" s="229"/>
      <c r="EU19" s="229"/>
      <c r="EV19" s="229"/>
      <c r="EW19" s="229"/>
      <c r="EX19" s="229"/>
      <c r="EY19" s="229"/>
      <c r="EZ19" s="229"/>
      <c r="FA19" s="229"/>
      <c r="FB19" s="229"/>
      <c r="FC19" s="229"/>
      <c r="FD19" s="229"/>
      <c r="FE19" s="229"/>
      <c r="FF19" s="229"/>
      <c r="FG19" s="241"/>
      <c r="FH19" s="241"/>
      <c r="FI19" s="241"/>
      <c r="FJ19" s="241"/>
      <c r="FK19" s="241"/>
      <c r="FL19" s="241"/>
      <c r="FM19" s="229"/>
      <c r="FN19" s="229"/>
      <c r="FO19" s="229"/>
      <c r="FP19" s="229"/>
      <c r="FQ19" s="229"/>
      <c r="FR19" s="229"/>
      <c r="FS19" s="229"/>
      <c r="FT19" s="229"/>
      <c r="FU19" s="229"/>
      <c r="FV19" s="229"/>
      <c r="FW19" s="229"/>
      <c r="FX19" s="229"/>
      <c r="FY19" s="229"/>
      <c r="FZ19" s="229"/>
      <c r="GA19" s="229"/>
      <c r="GB19" s="229"/>
      <c r="GC19" s="229"/>
      <c r="GD19" s="229"/>
      <c r="GE19" s="229"/>
      <c r="GF19" s="229"/>
      <c r="GG19" s="229"/>
      <c r="GH19" s="229"/>
      <c r="GI19" s="229"/>
      <c r="GJ19" s="229"/>
      <c r="GK19" s="229"/>
      <c r="GL19" s="229"/>
      <c r="GM19" s="229"/>
      <c r="GN19" s="229"/>
      <c r="GO19" s="229"/>
      <c r="GP19" s="229"/>
      <c r="GQ19" s="229"/>
      <c r="GR19" s="229"/>
      <c r="GS19" s="229"/>
      <c r="GT19" s="229"/>
      <c r="GU19" s="229"/>
      <c r="GV19" s="229"/>
      <c r="GW19" s="229"/>
      <c r="GX19" s="229"/>
      <c r="GY19" s="229"/>
      <c r="GZ19" s="229"/>
      <c r="HA19" s="229"/>
      <c r="HB19" s="229"/>
      <c r="HC19" s="229"/>
      <c r="HD19" s="229"/>
      <c r="HE19" s="229"/>
      <c r="HF19" s="229"/>
      <c r="HG19" s="229"/>
      <c r="HH19" s="229"/>
      <c r="HI19" s="229"/>
      <c r="HJ19" s="229"/>
      <c r="HK19" s="229"/>
      <c r="HL19" s="229"/>
      <c r="HM19" s="229"/>
      <c r="HN19" s="229"/>
      <c r="HO19" s="229"/>
      <c r="HP19" s="229"/>
      <c r="HQ19" s="229"/>
      <c r="HR19" s="229"/>
      <c r="HS19" s="229"/>
      <c r="HT19" s="229"/>
      <c r="HU19" s="229"/>
      <c r="HV19" s="229"/>
      <c r="HW19" s="229"/>
      <c r="HX19" s="229"/>
      <c r="HY19" s="229"/>
      <c r="HZ19" s="229"/>
      <c r="IA19" s="229"/>
      <c r="IB19" s="229"/>
      <c r="IC19" s="229"/>
      <c r="ID19" s="229"/>
      <c r="IE19" s="229"/>
      <c r="IF19" s="229"/>
      <c r="IG19" s="229"/>
      <c r="IH19" s="229"/>
      <c r="II19" s="229"/>
      <c r="IJ19" s="229"/>
      <c r="IK19" s="229"/>
      <c r="IL19" s="229"/>
      <c r="IM19" s="229"/>
      <c r="IN19" s="229"/>
      <c r="IO19" s="229"/>
      <c r="IP19" s="229"/>
      <c r="IQ19" s="229"/>
      <c r="IR19" s="229"/>
      <c r="IS19" s="229"/>
      <c r="IT19" s="229"/>
      <c r="IU19" s="229"/>
      <c r="IV19" s="229"/>
      <c r="IW19" s="229"/>
      <c r="IX19" s="229"/>
      <c r="IY19" s="229"/>
      <c r="IZ19" s="229"/>
      <c r="JA19" s="229"/>
      <c r="JB19" s="229"/>
      <c r="JC19" s="229"/>
      <c r="JD19" s="229"/>
      <c r="JE19" s="229"/>
      <c r="JF19" s="229"/>
      <c r="JG19" s="229"/>
      <c r="JH19" s="229"/>
      <c r="JI19" s="229"/>
      <c r="JJ19" s="229"/>
      <c r="JK19" s="229"/>
      <c r="JL19" s="229"/>
      <c r="JM19" s="229"/>
      <c r="JN19" s="229"/>
      <c r="JO19" s="229"/>
      <c r="JP19" s="229"/>
      <c r="JQ19" s="229"/>
      <c r="JR19" s="229"/>
      <c r="JS19" s="241"/>
      <c r="JT19" s="241"/>
      <c r="JU19" s="241"/>
      <c r="JV19" s="241"/>
      <c r="JW19" s="241"/>
      <c r="JX19" s="241"/>
      <c r="JY19" s="241"/>
      <c r="JZ19" s="241"/>
      <c r="KA19" s="241"/>
      <c r="KB19" s="241"/>
      <c r="KC19" s="241"/>
      <c r="KD19" s="241"/>
      <c r="KE19" s="241"/>
      <c r="KF19" s="241"/>
      <c r="KG19" s="241"/>
      <c r="KH19" s="241"/>
      <c r="KI19" s="241"/>
      <c r="KJ19" s="241"/>
      <c r="KK19" s="241"/>
      <c r="KL19" s="241"/>
      <c r="KM19" s="241"/>
      <c r="KN19" s="241"/>
      <c r="KO19" s="241"/>
      <c r="KP19" s="241"/>
      <c r="KQ19" s="241"/>
      <c r="KR19" s="241"/>
      <c r="KS19" s="241"/>
      <c r="KT19" s="241"/>
      <c r="KU19" s="241">
        <v>1811551</v>
      </c>
      <c r="KV19" s="241">
        <v>1811551</v>
      </c>
      <c r="KW19" s="229"/>
      <c r="KX19" s="229"/>
      <c r="KY19" s="229"/>
      <c r="KZ19" s="229"/>
      <c r="LA19" s="229"/>
      <c r="LB19" s="229"/>
      <c r="LC19" s="229"/>
      <c r="LD19" s="229"/>
      <c r="LE19" s="229"/>
      <c r="LF19" s="229"/>
      <c r="LG19" s="229"/>
      <c r="LH19" s="229"/>
      <c r="LI19" s="229"/>
      <c r="LJ19" s="229"/>
      <c r="LK19" s="229"/>
      <c r="LL19" s="229"/>
      <c r="LM19" s="229"/>
      <c r="LN19" s="229"/>
      <c r="LO19" s="229"/>
      <c r="LP19" s="229"/>
      <c r="LQ19" s="229"/>
      <c r="LR19" s="229"/>
      <c r="LS19" s="229"/>
      <c r="LT19" s="229"/>
      <c r="LU19" s="229"/>
      <c r="LV19" s="229"/>
      <c r="LW19" s="229"/>
      <c r="LX19" s="229"/>
      <c r="LY19" s="229"/>
      <c r="LZ19" s="229"/>
      <c r="MA19" s="229"/>
      <c r="MB19" s="229"/>
      <c r="MC19" s="229"/>
      <c r="MD19" s="229"/>
      <c r="ME19" s="229"/>
      <c r="MF19" s="229"/>
      <c r="MG19" s="229"/>
      <c r="MH19" s="229"/>
      <c r="MI19" s="229"/>
      <c r="MJ19" s="229"/>
      <c r="MK19" s="229"/>
      <c r="ML19" s="229"/>
      <c r="MM19" s="229"/>
      <c r="MN19" s="229"/>
      <c r="MO19" s="229"/>
      <c r="MP19" s="229"/>
      <c r="MQ19" s="229"/>
      <c r="MR19" s="229"/>
      <c r="MS19" s="229"/>
      <c r="MT19" s="229"/>
      <c r="MU19" s="229"/>
      <c r="MV19" s="229"/>
      <c r="MW19" s="229"/>
      <c r="MX19" s="229"/>
      <c r="MY19" s="663">
        <f>+E19+H19+K19+Q19++T19+W19+Z19+AC19+AF19+AO19+AR19+AU19+AX19+BA19+BD19+BG19+BJ19+BM19+BV19+BY19+CB19+CE19+CH19+CK19+CN19+CQ19+CT19+DC19+DF19+DI19+DL19+DR19+EA19+ED19+EG19+EJ19+EM19+EP19+ES19+EV19+FN19+FT19+GC19+GF19+GI19+GO19+GR19+HJ19+HM19+HP19+IM19+IJ19+IV19+IY19+JE19+JH19+JK19+JN19+JT19+JZ19+KC19+LA19+LD19+LG19+LJ19+LM19+LP19+LS19+LV19+ME19+MH19+MQ19+MT19+GL19+GU19+KU19</f>
        <v>1811551</v>
      </c>
      <c r="MZ19" s="663">
        <f>+F19+I19+L19+R19++U19+X19+AA19+AD19+AG19+AP19+AS19+AV19+AY19+BB19+BE19+BH19+BK19+BN19+BW19+BZ19+CC19+CF19+CI19+CL19+CO19+CR19+CU19+DD19+DG19+DJ19+DM19+DS19+EB19+EE19+EH19+EK19+EN19+EQ19+ET19+EW19+FO19+FU19+GD19+GG19+GJ19+GP19+GS19+HK19+HN19+HQ19+IN19+IK19+IW19+IZ19+JF19+JI19+JL19+JO19+JU19+KA19+KD19+LB19+LE19+LH19+LK19+LN19+LQ19+LT19+LW19+MF19+MI19+MR19+MU19+GM19+GV19+KV19</f>
        <v>1811551</v>
      </c>
      <c r="NA19" s="663">
        <f t="shared" si="2"/>
        <v>3690750</v>
      </c>
      <c r="NB19" s="663">
        <f t="shared" si="3"/>
        <v>3500000</v>
      </c>
      <c r="NC19" s="663"/>
      <c r="NE19" s="204">
        <f>160237220+12180711</f>
        <v>172417931</v>
      </c>
    </row>
    <row r="20" spans="1:369" s="215" customFormat="1" ht="21.75" customHeight="1" x14ac:dyDescent="0.25">
      <c r="A20" s="208" t="s">
        <v>229</v>
      </c>
      <c r="B20" s="221" t="s">
        <v>239</v>
      </c>
      <c r="C20" s="210" t="s">
        <v>211</v>
      </c>
      <c r="D20" s="240">
        <f>+D18+D17+D16+D12+D11+D10+D9+D8</f>
        <v>270974377</v>
      </c>
      <c r="E20" s="240">
        <f t="shared" ref="E20:CV20" si="16">+E18+E17+E16+E12+E11+E10+E9+E8</f>
        <v>255058296</v>
      </c>
      <c r="F20" s="240">
        <f t="shared" si="16"/>
        <v>254120377</v>
      </c>
      <c r="G20" s="240">
        <f t="shared" si="16"/>
        <v>87152400</v>
      </c>
      <c r="H20" s="240">
        <f t="shared" si="16"/>
        <v>62761708</v>
      </c>
      <c r="I20" s="240">
        <f t="shared" si="16"/>
        <v>62693602</v>
      </c>
      <c r="J20" s="240">
        <f t="shared" si="16"/>
        <v>4820771</v>
      </c>
      <c r="K20" s="240">
        <f t="shared" si="16"/>
        <v>4820771</v>
      </c>
      <c r="L20" s="240">
        <f t="shared" si="16"/>
        <v>4820771</v>
      </c>
      <c r="M20" s="240">
        <f t="shared" si="16"/>
        <v>0</v>
      </c>
      <c r="N20" s="240">
        <f t="shared" si="16"/>
        <v>2351024</v>
      </c>
      <c r="O20" s="240">
        <f t="shared" si="16"/>
        <v>2351024</v>
      </c>
      <c r="P20" s="240">
        <f t="shared" si="16"/>
        <v>30660400</v>
      </c>
      <c r="Q20" s="240">
        <f t="shared" si="16"/>
        <v>20389850</v>
      </c>
      <c r="R20" s="240">
        <f t="shared" si="16"/>
        <v>4864100</v>
      </c>
      <c r="S20" s="240">
        <f t="shared" si="16"/>
        <v>254000</v>
      </c>
      <c r="T20" s="240">
        <f t="shared" si="16"/>
        <v>0</v>
      </c>
      <c r="U20" s="240">
        <f t="shared" si="16"/>
        <v>0</v>
      </c>
      <c r="V20" s="240">
        <f t="shared" si="16"/>
        <v>67707653</v>
      </c>
      <c r="W20" s="240">
        <f t="shared" si="16"/>
        <v>113920196</v>
      </c>
      <c r="X20" s="240">
        <f t="shared" si="16"/>
        <v>37937822</v>
      </c>
      <c r="Y20" s="240">
        <f t="shared" si="16"/>
        <v>13073150</v>
      </c>
      <c r="Z20" s="240">
        <f t="shared" si="16"/>
        <v>43935387</v>
      </c>
      <c r="AA20" s="240">
        <f t="shared" si="16"/>
        <v>43935387</v>
      </c>
      <c r="AB20" s="240">
        <f t="shared" si="16"/>
        <v>1000000</v>
      </c>
      <c r="AC20" s="240">
        <f t="shared" si="16"/>
        <v>1000000</v>
      </c>
      <c r="AD20" s="240">
        <f t="shared" si="16"/>
        <v>0</v>
      </c>
      <c r="AE20" s="240">
        <f t="shared" si="16"/>
        <v>10027494</v>
      </c>
      <c r="AF20" s="240">
        <f t="shared" si="16"/>
        <v>30728244</v>
      </c>
      <c r="AG20" s="240">
        <f t="shared" si="16"/>
        <v>27314173</v>
      </c>
      <c r="AH20" s="240">
        <f t="shared" si="16"/>
        <v>2000000</v>
      </c>
      <c r="AI20" s="240">
        <f t="shared" si="16"/>
        <v>3690750</v>
      </c>
      <c r="AJ20" s="240">
        <f t="shared" si="16"/>
        <v>3500000</v>
      </c>
      <c r="AK20" s="240">
        <f t="shared" si="16"/>
        <v>0</v>
      </c>
      <c r="AL20" s="240">
        <f t="shared" si="16"/>
        <v>160000</v>
      </c>
      <c r="AM20" s="240">
        <f t="shared" si="16"/>
        <v>160000</v>
      </c>
      <c r="AN20" s="240">
        <f t="shared" si="16"/>
        <v>0</v>
      </c>
      <c r="AO20" s="240">
        <f t="shared" si="16"/>
        <v>0</v>
      </c>
      <c r="AP20" s="240">
        <f t="shared" si="16"/>
        <v>0</v>
      </c>
      <c r="AQ20" s="240">
        <f t="shared" si="16"/>
        <v>0</v>
      </c>
      <c r="AR20" s="240">
        <f t="shared" si="16"/>
        <v>0</v>
      </c>
      <c r="AS20" s="240">
        <f t="shared" si="16"/>
        <v>0</v>
      </c>
      <c r="AT20" s="240">
        <f t="shared" si="16"/>
        <v>6698581</v>
      </c>
      <c r="AU20" s="240">
        <f t="shared" si="16"/>
        <v>15778109</v>
      </c>
      <c r="AV20" s="240">
        <f t="shared" si="16"/>
        <v>698581</v>
      </c>
      <c r="AW20" s="240">
        <f t="shared" si="16"/>
        <v>0</v>
      </c>
      <c r="AX20" s="240">
        <f t="shared" si="16"/>
        <v>0</v>
      </c>
      <c r="AY20" s="240">
        <f t="shared" si="16"/>
        <v>0</v>
      </c>
      <c r="AZ20" s="240">
        <f t="shared" si="16"/>
        <v>91678600</v>
      </c>
      <c r="BA20" s="240">
        <f t="shared" si="16"/>
        <v>105226678</v>
      </c>
      <c r="BB20" s="240">
        <f t="shared" si="16"/>
        <v>88663593</v>
      </c>
      <c r="BC20" s="240">
        <f t="shared" si="16"/>
        <v>93624680</v>
      </c>
      <c r="BD20" s="240">
        <f t="shared" si="16"/>
        <v>133228385</v>
      </c>
      <c r="BE20" s="240">
        <f t="shared" si="16"/>
        <v>114932223</v>
      </c>
      <c r="BF20" s="240">
        <f t="shared" si="16"/>
        <v>0</v>
      </c>
      <c r="BG20" s="240">
        <f t="shared" si="16"/>
        <v>0</v>
      </c>
      <c r="BH20" s="240">
        <f t="shared" si="16"/>
        <v>0</v>
      </c>
      <c r="BI20" s="240">
        <f t="shared" si="16"/>
        <v>8981569</v>
      </c>
      <c r="BJ20" s="240">
        <f t="shared" si="16"/>
        <v>10484010</v>
      </c>
      <c r="BK20" s="240">
        <f t="shared" si="16"/>
        <v>7393970</v>
      </c>
      <c r="BL20" s="240">
        <f t="shared" si="16"/>
        <v>0</v>
      </c>
      <c r="BM20" s="240">
        <f t="shared" si="16"/>
        <v>0</v>
      </c>
      <c r="BN20" s="240">
        <f t="shared" si="16"/>
        <v>0</v>
      </c>
      <c r="BO20" s="240">
        <f t="shared" si="16"/>
        <v>0</v>
      </c>
      <c r="BP20" s="240">
        <f t="shared" si="16"/>
        <v>0</v>
      </c>
      <c r="BQ20" s="240">
        <f t="shared" si="16"/>
        <v>0</v>
      </c>
      <c r="BR20" s="240">
        <f t="shared" si="16"/>
        <v>26400000</v>
      </c>
      <c r="BS20" s="240">
        <f t="shared" si="16"/>
        <v>25563553</v>
      </c>
      <c r="BT20" s="240">
        <f t="shared" si="16"/>
        <v>24418959</v>
      </c>
      <c r="BU20" s="240">
        <f t="shared" si="16"/>
        <v>10000000</v>
      </c>
      <c r="BV20" s="240">
        <f t="shared" si="16"/>
        <v>5000000</v>
      </c>
      <c r="BW20" s="240">
        <f t="shared" si="16"/>
        <v>4914900</v>
      </c>
      <c r="BX20" s="240">
        <f t="shared" si="16"/>
        <v>25000000</v>
      </c>
      <c r="BY20" s="240">
        <f t="shared" si="16"/>
        <v>22024600</v>
      </c>
      <c r="BZ20" s="240">
        <f t="shared" si="16"/>
        <v>21924600</v>
      </c>
      <c r="CA20" s="240">
        <f t="shared" si="16"/>
        <v>298950943</v>
      </c>
      <c r="CB20" s="240">
        <f t="shared" si="16"/>
        <v>294588859</v>
      </c>
      <c r="CC20" s="240">
        <f t="shared" si="16"/>
        <v>278032256</v>
      </c>
      <c r="CD20" s="240">
        <f t="shared" si="16"/>
        <v>43128038</v>
      </c>
      <c r="CE20" s="240">
        <f t="shared" si="16"/>
        <v>46905466</v>
      </c>
      <c r="CF20" s="240">
        <f t="shared" si="16"/>
        <v>34738224</v>
      </c>
      <c r="CG20" s="240">
        <f t="shared" si="16"/>
        <v>51500000</v>
      </c>
      <c r="CH20" s="240">
        <f t="shared" si="16"/>
        <v>29146500</v>
      </c>
      <c r="CI20" s="240">
        <f t="shared" si="16"/>
        <v>29146500</v>
      </c>
      <c r="CJ20" s="240">
        <f t="shared" si="16"/>
        <v>8300000</v>
      </c>
      <c r="CK20" s="240">
        <f t="shared" si="16"/>
        <v>15414485</v>
      </c>
      <c r="CL20" s="240">
        <f t="shared" si="16"/>
        <v>15188713</v>
      </c>
      <c r="CM20" s="240">
        <f t="shared" si="16"/>
        <v>194079193</v>
      </c>
      <c r="CN20" s="240">
        <f t="shared" si="16"/>
        <v>200780446</v>
      </c>
      <c r="CO20" s="240">
        <f t="shared" si="16"/>
        <v>177600406</v>
      </c>
      <c r="CP20" s="240">
        <f t="shared" si="16"/>
        <v>101000000</v>
      </c>
      <c r="CQ20" s="240">
        <f t="shared" si="16"/>
        <v>120507757</v>
      </c>
      <c r="CR20" s="240">
        <f t="shared" si="16"/>
        <v>116788466</v>
      </c>
      <c r="CS20" s="240">
        <f t="shared" si="16"/>
        <v>36276653</v>
      </c>
      <c r="CT20" s="240">
        <f t="shared" si="16"/>
        <v>42328926</v>
      </c>
      <c r="CU20" s="240">
        <f t="shared" si="16"/>
        <v>27575940</v>
      </c>
      <c r="CV20" s="240">
        <f t="shared" si="16"/>
        <v>6630000</v>
      </c>
      <c r="CW20" s="240">
        <f t="shared" ref="CW20:FH20" si="17">+CW18+CW17+CW16+CW12+CW11+CW10+CW9+CW8</f>
        <v>9110000</v>
      </c>
      <c r="CX20" s="240">
        <f t="shared" si="17"/>
        <v>8526276</v>
      </c>
      <c r="CY20" s="240">
        <f t="shared" si="17"/>
        <v>20722250</v>
      </c>
      <c r="CZ20" s="240">
        <f t="shared" si="17"/>
        <v>20722250</v>
      </c>
      <c r="DA20" s="240">
        <f t="shared" si="17"/>
        <v>13648000</v>
      </c>
      <c r="DB20" s="240">
        <f t="shared" si="17"/>
        <v>24152000</v>
      </c>
      <c r="DC20" s="240">
        <f t="shared" si="17"/>
        <v>26070347</v>
      </c>
      <c r="DD20" s="240">
        <f t="shared" si="17"/>
        <v>25724347</v>
      </c>
      <c r="DE20" s="240">
        <f t="shared" si="17"/>
        <v>21019300</v>
      </c>
      <c r="DF20" s="240">
        <f t="shared" si="17"/>
        <v>21844800</v>
      </c>
      <c r="DG20" s="240">
        <f t="shared" si="17"/>
        <v>6724651</v>
      </c>
      <c r="DH20" s="240">
        <f t="shared" si="17"/>
        <v>37801077</v>
      </c>
      <c r="DI20" s="240">
        <f>+DI18+DI17+DI16+DI12+DI11+DI10+DI9+DI8</f>
        <v>55926327</v>
      </c>
      <c r="DJ20" s="240">
        <f t="shared" si="17"/>
        <v>33977618</v>
      </c>
      <c r="DK20" s="240">
        <f t="shared" si="17"/>
        <v>0</v>
      </c>
      <c r="DL20" s="240">
        <f t="shared" si="17"/>
        <v>0</v>
      </c>
      <c r="DM20" s="240">
        <f t="shared" si="17"/>
        <v>0</v>
      </c>
      <c r="DN20" s="240">
        <f t="shared" si="17"/>
        <v>2000000</v>
      </c>
      <c r="DO20" s="240">
        <f t="shared" si="17"/>
        <v>2000000</v>
      </c>
      <c r="DP20" s="240">
        <f t="shared" si="17"/>
        <v>1574800</v>
      </c>
      <c r="DQ20" s="240">
        <f t="shared" si="17"/>
        <v>15444500</v>
      </c>
      <c r="DR20" s="240">
        <f t="shared" si="17"/>
        <v>18373000</v>
      </c>
      <c r="DS20" s="240">
        <f t="shared" si="17"/>
        <v>10148450</v>
      </c>
      <c r="DT20" s="240">
        <f t="shared" si="17"/>
        <v>500000</v>
      </c>
      <c r="DU20" s="240">
        <f t="shared" si="17"/>
        <v>500000</v>
      </c>
      <c r="DV20" s="240">
        <f t="shared" si="17"/>
        <v>0</v>
      </c>
      <c r="DW20" s="240">
        <f t="shared" si="17"/>
        <v>3465000</v>
      </c>
      <c r="DX20" s="240">
        <f t="shared" si="17"/>
        <v>3665000</v>
      </c>
      <c r="DY20" s="240">
        <f t="shared" si="17"/>
        <v>1932731</v>
      </c>
      <c r="DZ20" s="240">
        <f t="shared" si="17"/>
        <v>16434280</v>
      </c>
      <c r="EA20" s="240">
        <f t="shared" si="17"/>
        <v>16434280</v>
      </c>
      <c r="EB20" s="240">
        <f t="shared" si="17"/>
        <v>9796253</v>
      </c>
      <c r="EC20" s="240">
        <f t="shared" si="17"/>
        <v>40386460</v>
      </c>
      <c r="ED20" s="240">
        <f t="shared" si="17"/>
        <v>46830530</v>
      </c>
      <c r="EE20" s="240">
        <f t="shared" si="17"/>
        <v>34259907</v>
      </c>
      <c r="EF20" s="240">
        <f t="shared" si="17"/>
        <v>1500000</v>
      </c>
      <c r="EG20" s="240">
        <f t="shared" si="17"/>
        <v>1500000</v>
      </c>
      <c r="EH20" s="240">
        <f t="shared" si="17"/>
        <v>619653</v>
      </c>
      <c r="EI20" s="240">
        <f t="shared" si="17"/>
        <v>2000000</v>
      </c>
      <c r="EJ20" s="240">
        <f t="shared" si="17"/>
        <v>23285331</v>
      </c>
      <c r="EK20" s="240">
        <f t="shared" si="17"/>
        <v>19820707</v>
      </c>
      <c r="EL20" s="240">
        <f t="shared" si="17"/>
        <v>1011638</v>
      </c>
      <c r="EM20" s="240">
        <f t="shared" si="17"/>
        <v>1026838</v>
      </c>
      <c r="EN20" s="240">
        <f t="shared" si="17"/>
        <v>389068</v>
      </c>
      <c r="EO20" s="240">
        <f t="shared" si="17"/>
        <v>28739662</v>
      </c>
      <c r="EP20" s="240">
        <f t="shared" si="17"/>
        <v>29854678</v>
      </c>
      <c r="EQ20" s="240">
        <f t="shared" si="17"/>
        <v>22138690</v>
      </c>
      <c r="ER20" s="240">
        <f t="shared" si="17"/>
        <v>86623342</v>
      </c>
      <c r="ES20" s="240">
        <f t="shared" si="17"/>
        <v>124278882</v>
      </c>
      <c r="ET20" s="240">
        <f t="shared" si="17"/>
        <v>108034022</v>
      </c>
      <c r="EU20" s="240">
        <f t="shared" si="17"/>
        <v>84578100</v>
      </c>
      <c r="EV20" s="240">
        <f t="shared" si="17"/>
        <v>177551943</v>
      </c>
      <c r="EW20" s="240">
        <f t="shared" si="17"/>
        <v>160032216</v>
      </c>
      <c r="EX20" s="240">
        <f t="shared" si="17"/>
        <v>36686300</v>
      </c>
      <c r="EY20" s="240">
        <f t="shared" si="17"/>
        <v>36946310</v>
      </c>
      <c r="EZ20" s="240">
        <f t="shared" si="17"/>
        <v>25415920</v>
      </c>
      <c r="FA20" s="240">
        <f t="shared" si="17"/>
        <v>52794000</v>
      </c>
      <c r="FB20" s="240">
        <f t="shared" si="17"/>
        <v>60826982</v>
      </c>
      <c r="FC20" s="240">
        <f t="shared" si="17"/>
        <v>56111378</v>
      </c>
      <c r="FD20" s="240">
        <f t="shared" si="17"/>
        <v>2000000</v>
      </c>
      <c r="FE20" s="240">
        <f t="shared" si="17"/>
        <v>2018945</v>
      </c>
      <c r="FF20" s="240">
        <f t="shared" si="17"/>
        <v>724057</v>
      </c>
      <c r="FG20" s="240">
        <f t="shared" si="17"/>
        <v>84939691</v>
      </c>
      <c r="FH20" s="240">
        <f t="shared" si="17"/>
        <v>141037787</v>
      </c>
      <c r="FI20" s="240">
        <f t="shared" ref="FI20:HZ20" si="18">+FI18+FI17+FI16+FI12+FI11+FI10+FI9+FI8</f>
        <v>95677852</v>
      </c>
      <c r="FJ20" s="240">
        <f t="shared" si="18"/>
        <v>13000000</v>
      </c>
      <c r="FK20" s="240">
        <f t="shared" si="18"/>
        <v>17768251</v>
      </c>
      <c r="FL20" s="240">
        <f t="shared" si="18"/>
        <v>17768251</v>
      </c>
      <c r="FM20" s="240">
        <f t="shared" si="18"/>
        <v>24000000</v>
      </c>
      <c r="FN20" s="240">
        <f t="shared" si="18"/>
        <v>24000000</v>
      </c>
      <c r="FO20" s="240">
        <f t="shared" si="18"/>
        <v>23724660</v>
      </c>
      <c r="FP20" s="240">
        <f t="shared" si="18"/>
        <v>2650000</v>
      </c>
      <c r="FQ20" s="240">
        <f t="shared" si="18"/>
        <v>2850000</v>
      </c>
      <c r="FR20" s="240">
        <f t="shared" si="18"/>
        <v>2188901</v>
      </c>
      <c r="FS20" s="240">
        <f t="shared" si="18"/>
        <v>500000</v>
      </c>
      <c r="FT20" s="240">
        <f t="shared" si="18"/>
        <v>572000</v>
      </c>
      <c r="FU20" s="240">
        <f t="shared" si="18"/>
        <v>372000</v>
      </c>
      <c r="FV20" s="240">
        <f t="shared" si="18"/>
        <v>3840000</v>
      </c>
      <c r="FW20" s="240">
        <f t="shared" si="18"/>
        <v>6174220</v>
      </c>
      <c r="FX20" s="240">
        <f t="shared" si="18"/>
        <v>5804208</v>
      </c>
      <c r="FY20" s="240">
        <f t="shared" si="18"/>
        <v>1200000</v>
      </c>
      <c r="FZ20" s="240">
        <f t="shared" si="18"/>
        <v>1200000</v>
      </c>
      <c r="GA20" s="240">
        <f t="shared" si="18"/>
        <v>0</v>
      </c>
      <c r="GB20" s="240">
        <f t="shared" si="18"/>
        <v>0</v>
      </c>
      <c r="GC20" s="240">
        <f t="shared" si="18"/>
        <v>0</v>
      </c>
      <c r="GD20" s="240">
        <f t="shared" si="18"/>
        <v>0</v>
      </c>
      <c r="GE20" s="240">
        <f t="shared" si="18"/>
        <v>0</v>
      </c>
      <c r="GF20" s="240">
        <f t="shared" si="18"/>
        <v>55649285</v>
      </c>
      <c r="GG20" s="240">
        <f t="shared" si="18"/>
        <v>55649285</v>
      </c>
      <c r="GH20" s="240">
        <f t="shared" si="18"/>
        <v>65000000</v>
      </c>
      <c r="GI20" s="240">
        <f t="shared" si="18"/>
        <v>0</v>
      </c>
      <c r="GJ20" s="240">
        <f t="shared" si="18"/>
        <v>0</v>
      </c>
      <c r="GK20" s="240">
        <f>+GK18+GK17+GK16+GK12+GK11+GK10+GK9+GK8</f>
        <v>0</v>
      </c>
      <c r="GL20" s="240">
        <f>+GL18+GL17+GL16+GL12+GL11+GL10+GL9+GL8</f>
        <v>7650000</v>
      </c>
      <c r="GM20" s="240">
        <f>+GM18+GM17+GM16+GM12+GM11+GM10+GM9+GM8</f>
        <v>0</v>
      </c>
      <c r="GN20" s="240">
        <f t="shared" si="18"/>
        <v>508000</v>
      </c>
      <c r="GO20" s="240">
        <f t="shared" si="18"/>
        <v>24965777</v>
      </c>
      <c r="GP20" s="240">
        <f t="shared" si="18"/>
        <v>24965777</v>
      </c>
      <c r="GQ20" s="240">
        <f t="shared" si="18"/>
        <v>65000000</v>
      </c>
      <c r="GR20" s="240">
        <f t="shared" si="18"/>
        <v>0</v>
      </c>
      <c r="GS20" s="240">
        <f t="shared" si="18"/>
        <v>0</v>
      </c>
      <c r="GT20" s="240">
        <f>+GT18+GT17+GT16+GT12+GT11+GT10+GT9+GT8</f>
        <v>0</v>
      </c>
      <c r="GU20" s="240">
        <f>+GU18+GU17+GU16+GU12+GU11+GU10+GU9+GU8</f>
        <v>43969369</v>
      </c>
      <c r="GV20" s="240">
        <f>+GV18+GV17+GV16+GV12+GV11+GV10+GV9+GV8</f>
        <v>0</v>
      </c>
      <c r="GW20" s="240">
        <f t="shared" si="18"/>
        <v>3700000</v>
      </c>
      <c r="GX20" s="240">
        <f t="shared" si="18"/>
        <v>4080570</v>
      </c>
      <c r="GY20" s="240">
        <f t="shared" si="18"/>
        <v>3880358</v>
      </c>
      <c r="GZ20" s="240">
        <f t="shared" si="18"/>
        <v>2740000</v>
      </c>
      <c r="HA20" s="240">
        <f t="shared" si="18"/>
        <v>2740000</v>
      </c>
      <c r="HB20" s="240">
        <f t="shared" si="18"/>
        <v>1497659</v>
      </c>
      <c r="HC20" s="240">
        <f t="shared" si="18"/>
        <v>7270500</v>
      </c>
      <c r="HD20" s="240">
        <f t="shared" si="18"/>
        <v>7358049</v>
      </c>
      <c r="HE20" s="240">
        <f t="shared" si="18"/>
        <v>5497163</v>
      </c>
      <c r="HF20" s="240">
        <f t="shared" si="18"/>
        <v>2000000</v>
      </c>
      <c r="HG20" s="240">
        <f t="shared" si="18"/>
        <v>2000000</v>
      </c>
      <c r="HH20" s="240">
        <f t="shared" si="18"/>
        <v>1500000</v>
      </c>
      <c r="HI20" s="240">
        <f t="shared" si="18"/>
        <v>8255800</v>
      </c>
      <c r="HJ20" s="240">
        <f t="shared" si="18"/>
        <v>8255800</v>
      </c>
      <c r="HK20" s="240">
        <f t="shared" si="18"/>
        <v>6226550</v>
      </c>
      <c r="HL20" s="240">
        <f t="shared" si="18"/>
        <v>2017360</v>
      </c>
      <c r="HM20" s="240">
        <f t="shared" si="18"/>
        <v>2017360</v>
      </c>
      <c r="HN20" s="240">
        <f t="shared" si="18"/>
        <v>1373557</v>
      </c>
      <c r="HO20" s="240">
        <f t="shared" si="18"/>
        <v>5000000</v>
      </c>
      <c r="HP20" s="240">
        <f t="shared" si="18"/>
        <v>5000000</v>
      </c>
      <c r="HQ20" s="240">
        <f t="shared" si="18"/>
        <v>2071000</v>
      </c>
      <c r="HR20" s="240">
        <f t="shared" si="18"/>
        <v>0</v>
      </c>
      <c r="HS20" s="240">
        <f t="shared" si="18"/>
        <v>0</v>
      </c>
      <c r="HT20" s="240">
        <f t="shared" si="18"/>
        <v>0</v>
      </c>
      <c r="HU20" s="240">
        <f t="shared" si="18"/>
        <v>0</v>
      </c>
      <c r="HV20" s="240">
        <f t="shared" si="18"/>
        <v>0</v>
      </c>
      <c r="HW20" s="240">
        <f t="shared" si="18"/>
        <v>0</v>
      </c>
      <c r="HX20" s="240">
        <f t="shared" si="18"/>
        <v>0</v>
      </c>
      <c r="HY20" s="240">
        <f t="shared" si="18"/>
        <v>0</v>
      </c>
      <c r="HZ20" s="240">
        <f t="shared" si="18"/>
        <v>0</v>
      </c>
      <c r="IA20" s="240">
        <f t="shared" ref="IA20:KL20" si="19">+IA18+IA17+IA16+IA12+IA11+IA10+IA9+IA8</f>
        <v>0</v>
      </c>
      <c r="IB20" s="240">
        <f t="shared" si="19"/>
        <v>0</v>
      </c>
      <c r="IC20" s="240">
        <f t="shared" si="19"/>
        <v>0</v>
      </c>
      <c r="ID20" s="240">
        <f t="shared" si="19"/>
        <v>0</v>
      </c>
      <c r="IE20" s="240">
        <f t="shared" si="19"/>
        <v>0</v>
      </c>
      <c r="IF20" s="240">
        <f t="shared" si="19"/>
        <v>0</v>
      </c>
      <c r="IG20" s="240">
        <f t="shared" si="19"/>
        <v>897149962</v>
      </c>
      <c r="IH20" s="240">
        <f t="shared" si="19"/>
        <v>1872854738</v>
      </c>
      <c r="II20" s="240">
        <f t="shared" si="19"/>
        <v>0</v>
      </c>
      <c r="IJ20" s="240">
        <f t="shared" si="19"/>
        <v>0</v>
      </c>
      <c r="IK20" s="240">
        <f t="shared" si="19"/>
        <v>0</v>
      </c>
      <c r="IL20" s="240">
        <f t="shared" si="19"/>
        <v>0</v>
      </c>
      <c r="IM20" s="240">
        <f t="shared" si="19"/>
        <v>0</v>
      </c>
      <c r="IN20" s="240">
        <f t="shared" si="19"/>
        <v>0</v>
      </c>
      <c r="IO20" s="240">
        <f t="shared" si="19"/>
        <v>3000000</v>
      </c>
      <c r="IP20" s="240">
        <f t="shared" si="19"/>
        <v>12283876</v>
      </c>
      <c r="IQ20" s="240">
        <f t="shared" si="19"/>
        <v>12135691</v>
      </c>
      <c r="IR20" s="240">
        <f t="shared" si="19"/>
        <v>0</v>
      </c>
      <c r="IS20" s="240">
        <f t="shared" si="19"/>
        <v>0</v>
      </c>
      <c r="IT20" s="240">
        <f t="shared" si="19"/>
        <v>0</v>
      </c>
      <c r="IU20" s="240">
        <f t="shared" si="19"/>
        <v>842991977</v>
      </c>
      <c r="IV20" s="240">
        <f t="shared" si="19"/>
        <v>914397335</v>
      </c>
      <c r="IW20" s="240">
        <f t="shared" si="19"/>
        <v>914397335</v>
      </c>
      <c r="IX20" s="240">
        <f t="shared" si="19"/>
        <v>0</v>
      </c>
      <c r="IY20" s="240">
        <f t="shared" si="19"/>
        <v>28847471</v>
      </c>
      <c r="IZ20" s="240">
        <f t="shared" si="19"/>
        <v>75311</v>
      </c>
      <c r="JA20" s="240">
        <f t="shared" si="19"/>
        <v>0</v>
      </c>
      <c r="JB20" s="240">
        <f t="shared" si="19"/>
        <v>0</v>
      </c>
      <c r="JC20" s="240">
        <f t="shared" si="19"/>
        <v>0</v>
      </c>
      <c r="JD20" s="240">
        <f t="shared" si="19"/>
        <v>0</v>
      </c>
      <c r="JE20" s="240">
        <f t="shared" si="19"/>
        <v>7472477</v>
      </c>
      <c r="JF20" s="240">
        <f t="shared" si="19"/>
        <v>7472477</v>
      </c>
      <c r="JG20" s="240">
        <f t="shared" si="19"/>
        <v>16587470</v>
      </c>
      <c r="JH20" s="240">
        <f t="shared" si="19"/>
        <v>18762617</v>
      </c>
      <c r="JI20" s="240">
        <f t="shared" si="19"/>
        <v>18762617</v>
      </c>
      <c r="JJ20" s="240">
        <f t="shared" si="19"/>
        <v>0</v>
      </c>
      <c r="JK20" s="240">
        <f t="shared" si="19"/>
        <v>0</v>
      </c>
      <c r="JL20" s="240">
        <f t="shared" si="19"/>
        <v>0</v>
      </c>
      <c r="JM20" s="240">
        <f t="shared" si="19"/>
        <v>18743098</v>
      </c>
      <c r="JN20" s="240">
        <f t="shared" si="19"/>
        <v>26033900</v>
      </c>
      <c r="JO20" s="240">
        <f t="shared" si="19"/>
        <v>23439925</v>
      </c>
      <c r="JP20" s="240">
        <f t="shared" si="19"/>
        <v>7000000</v>
      </c>
      <c r="JQ20" s="240">
        <f t="shared" si="19"/>
        <v>7000000</v>
      </c>
      <c r="JR20" s="240">
        <f t="shared" si="19"/>
        <v>2446101</v>
      </c>
      <c r="JS20" s="240">
        <f t="shared" si="19"/>
        <v>898020658</v>
      </c>
      <c r="JT20" s="240">
        <f t="shared" si="19"/>
        <v>898020658</v>
      </c>
      <c r="JU20" s="240">
        <f t="shared" si="19"/>
        <v>898020658</v>
      </c>
      <c r="JV20" s="240">
        <f t="shared" si="19"/>
        <v>5000000</v>
      </c>
      <c r="JW20" s="240">
        <f t="shared" si="19"/>
        <v>5000000</v>
      </c>
      <c r="JX20" s="240">
        <f t="shared" si="19"/>
        <v>347321</v>
      </c>
      <c r="JY20" s="240">
        <f t="shared" si="19"/>
        <v>680238497</v>
      </c>
      <c r="JZ20" s="240">
        <f t="shared" si="19"/>
        <v>697946447</v>
      </c>
      <c r="KA20" s="240">
        <f t="shared" si="19"/>
        <v>6711950</v>
      </c>
      <c r="KB20" s="240">
        <f t="shared" si="19"/>
        <v>0</v>
      </c>
      <c r="KC20" s="240">
        <f t="shared" si="19"/>
        <v>10004976</v>
      </c>
      <c r="KD20" s="240">
        <f t="shared" si="19"/>
        <v>7217865</v>
      </c>
      <c r="KE20" s="240">
        <f t="shared" si="19"/>
        <v>0</v>
      </c>
      <c r="KF20" s="240">
        <f t="shared" si="19"/>
        <v>0</v>
      </c>
      <c r="KG20" s="240">
        <f t="shared" si="19"/>
        <v>0</v>
      </c>
      <c r="KH20" s="240">
        <f t="shared" si="19"/>
        <v>0</v>
      </c>
      <c r="KI20" s="240">
        <f t="shared" si="19"/>
        <v>0</v>
      </c>
      <c r="KJ20" s="240">
        <f t="shared" si="19"/>
        <v>0</v>
      </c>
      <c r="KK20" s="240">
        <f t="shared" si="19"/>
        <v>0</v>
      </c>
      <c r="KL20" s="240">
        <f t="shared" si="19"/>
        <v>0</v>
      </c>
      <c r="KM20" s="240">
        <f t="shared" ref="KM20:MX20" si="20">+KM18+KM17+KM16+KM12+KM11+KM10+KM9+KM8</f>
        <v>0</v>
      </c>
      <c r="KN20" s="240">
        <f t="shared" si="20"/>
        <v>497685262</v>
      </c>
      <c r="KO20" s="240">
        <f t="shared" si="20"/>
        <v>492685262</v>
      </c>
      <c r="KP20" s="240">
        <f t="shared" si="20"/>
        <v>403814671</v>
      </c>
      <c r="KQ20" s="240">
        <f t="shared" si="20"/>
        <v>0</v>
      </c>
      <c r="KR20" s="240">
        <f t="shared" si="20"/>
        <v>25474644</v>
      </c>
      <c r="KS20" s="240">
        <f t="shared" si="20"/>
        <v>23753929</v>
      </c>
      <c r="KT20" s="240">
        <f t="shared" si="20"/>
        <v>1811551</v>
      </c>
      <c r="KU20" s="240">
        <f t="shared" si="20"/>
        <v>1811551</v>
      </c>
      <c r="KV20" s="240">
        <f t="shared" si="20"/>
        <v>1811551</v>
      </c>
      <c r="KW20" s="240">
        <f t="shared" si="20"/>
        <v>0</v>
      </c>
      <c r="KX20" s="240">
        <f t="shared" si="20"/>
        <v>0</v>
      </c>
      <c r="KY20" s="240">
        <f t="shared" si="20"/>
        <v>0</v>
      </c>
      <c r="KZ20" s="240">
        <f t="shared" si="20"/>
        <v>330331</v>
      </c>
      <c r="LA20" s="240">
        <f t="shared" si="20"/>
        <v>330331</v>
      </c>
      <c r="LB20" s="240">
        <f t="shared" si="20"/>
        <v>330331</v>
      </c>
      <c r="LC20" s="240">
        <f t="shared" si="20"/>
        <v>759054</v>
      </c>
      <c r="LD20" s="240">
        <f t="shared" si="20"/>
        <v>759054</v>
      </c>
      <c r="LE20" s="240">
        <f t="shared" si="20"/>
        <v>759054</v>
      </c>
      <c r="LF20" s="240">
        <f t="shared" si="20"/>
        <v>7499350</v>
      </c>
      <c r="LG20" s="240">
        <f t="shared" si="20"/>
        <v>49565206</v>
      </c>
      <c r="LH20" s="240">
        <f t="shared" si="20"/>
        <v>14589044</v>
      </c>
      <c r="LI20" s="240">
        <f t="shared" si="20"/>
        <v>0</v>
      </c>
      <c r="LJ20" s="240">
        <f t="shared" si="20"/>
        <v>0</v>
      </c>
      <c r="LK20" s="240">
        <f t="shared" si="20"/>
        <v>0</v>
      </c>
      <c r="LL20" s="240">
        <f t="shared" si="20"/>
        <v>48986500</v>
      </c>
      <c r="LM20" s="240">
        <f t="shared" si="20"/>
        <v>48986500</v>
      </c>
      <c r="LN20" s="240">
        <f t="shared" si="20"/>
        <v>18986500</v>
      </c>
      <c r="LO20" s="240">
        <f t="shared" si="20"/>
        <v>0</v>
      </c>
      <c r="LP20" s="240">
        <f t="shared" si="20"/>
        <v>0</v>
      </c>
      <c r="LQ20" s="240">
        <f t="shared" si="20"/>
        <v>0</v>
      </c>
      <c r="LR20" s="240">
        <f t="shared" si="20"/>
        <v>9000000</v>
      </c>
      <c r="LS20" s="240">
        <f t="shared" si="20"/>
        <v>9000000</v>
      </c>
      <c r="LT20" s="240">
        <f t="shared" si="20"/>
        <v>800000</v>
      </c>
      <c r="LU20" s="240">
        <f t="shared" si="20"/>
        <v>0</v>
      </c>
      <c r="LV20" s="240">
        <f t="shared" si="20"/>
        <v>0</v>
      </c>
      <c r="LW20" s="240">
        <f t="shared" si="20"/>
        <v>0</v>
      </c>
      <c r="LX20" s="240">
        <f t="shared" si="20"/>
        <v>43997512</v>
      </c>
      <c r="LY20" s="240">
        <f t="shared" si="20"/>
        <v>48997508</v>
      </c>
      <c r="LZ20" s="240">
        <f t="shared" si="20"/>
        <v>48997508</v>
      </c>
      <c r="MA20" s="240">
        <f t="shared" si="20"/>
        <v>5000000</v>
      </c>
      <c r="MB20" s="240">
        <f t="shared" si="20"/>
        <v>855604</v>
      </c>
      <c r="MC20" s="240">
        <f t="shared" si="20"/>
        <v>855600</v>
      </c>
      <c r="MD20" s="240">
        <f t="shared" si="20"/>
        <v>4690164</v>
      </c>
      <c r="ME20" s="240">
        <f t="shared" si="20"/>
        <v>9380167</v>
      </c>
      <c r="MF20" s="240">
        <f t="shared" si="20"/>
        <v>9380007</v>
      </c>
      <c r="MG20" s="240">
        <f t="shared" si="20"/>
        <v>0</v>
      </c>
      <c r="MH20" s="240">
        <f t="shared" si="20"/>
        <v>88545</v>
      </c>
      <c r="MI20" s="240">
        <f t="shared" si="20"/>
        <v>88544</v>
      </c>
      <c r="MJ20" s="240">
        <f t="shared" si="20"/>
        <v>0</v>
      </c>
      <c r="MK20" s="240">
        <f t="shared" si="20"/>
        <v>6032500</v>
      </c>
      <c r="ML20" s="240">
        <f t="shared" si="20"/>
        <v>6032500</v>
      </c>
      <c r="MM20" s="240">
        <f t="shared" si="20"/>
        <v>0</v>
      </c>
      <c r="MN20" s="240">
        <f t="shared" si="20"/>
        <v>80000</v>
      </c>
      <c r="MO20" s="240">
        <f t="shared" si="20"/>
        <v>80000</v>
      </c>
      <c r="MP20" s="240">
        <f t="shared" si="20"/>
        <v>0</v>
      </c>
      <c r="MQ20" s="240">
        <f t="shared" si="20"/>
        <v>124164200</v>
      </c>
      <c r="MR20" s="240">
        <f t="shared" si="20"/>
        <v>6164200</v>
      </c>
      <c r="MS20" s="240">
        <f t="shared" si="20"/>
        <v>0</v>
      </c>
      <c r="MT20" s="240">
        <f t="shared" si="20"/>
        <v>10007500</v>
      </c>
      <c r="MU20" s="240">
        <f t="shared" si="20"/>
        <v>10007500</v>
      </c>
      <c r="MV20" s="240">
        <f t="shared" si="20"/>
        <v>0</v>
      </c>
      <c r="MW20" s="240">
        <f t="shared" si="20"/>
        <v>0</v>
      </c>
      <c r="MX20" s="240">
        <f t="shared" si="20"/>
        <v>0</v>
      </c>
      <c r="MY20" s="663">
        <f>+E20+H20+K20+Q20++T20+W20+Z20+AC20+AF20+AO20+AR20+AU20+AX20+BA20+BD20+BG20+BJ20+BM20+BV20+BY20+CB20+CE20+CH20+CK20+CN20+CQ20+CT20+DC20+DF20+DI20+DL20+DR20+EA20+ED20+EG20+EJ20+EM20+EP20+ES20+EV20+FN20+FT20+GC20+GF20+GI20+GO20+GR20+HJ20+HM20+HP20+IM20+IJ20+IV20+IY20+JE20+JH20+JK20+JN20+JT20+JZ20+KC20+LA20+LD20+LG20+LJ20+LM20+LP20+LS20+LV20+ME20+MH20+MQ20+MT20+GL20+GU20+KU20+JW20+IH20</f>
        <v>7022518893</v>
      </c>
      <c r="MZ20" s="663">
        <f>+F20+I20+L20+R20++U20+X20+AA20+AD20+AG20+AP20+AS20+AV20+AY20+BB20+BE20+BH20+BK20+BN20+BW20+BZ20+CC20+CF20+CI20+CL20+CO20+CR20+CU20+DD20+DG20+DJ20+DM20+DS20+EB20+EE20+EH20+EK20+EN20+EQ20+ET20+EW20+FO20+FU20+GD20+GG20+GJ20+GP20+GS20+HK20+HN20+HQ20+IN20+IK20+IW20+IZ20+JF20+JI20+JL20+JO20+JU20+KA20+KD20+LB20+LE20+LH20+LK20+LN20+LQ20+LT20+LW20+MF20+MI20+MR20+MU20+GM20+GV20+KV20+JX20</f>
        <v>3838695205</v>
      </c>
      <c r="NA20" s="663">
        <f>+N20+AI20+AL20+BP20+BS20+CW20+CZ20+DO20+DU20+DX20+EY20+FB20+FE20+FH20+FK20+FZ20+GX20+HA20+HD20+HG20+HS20+HV20+HY20+IB20+IE20+IP20+IS20+JB20+JQ20+KF20+KI20+KL20+KO20+KR20+KX20+LY20+MB20+MK20+MN20+FQ20+FW20</f>
        <v>946173085</v>
      </c>
      <c r="NB20" s="663">
        <f t="shared" si="3"/>
        <v>770293537</v>
      </c>
      <c r="NC20" s="665"/>
      <c r="ND20" s="215">
        <v>4468838372</v>
      </c>
      <c r="NE20" s="216" t="e">
        <f>+NE19+NE18</f>
        <v>#REF!</v>
      </c>
    </row>
    <row r="21" spans="1:369" s="215" customFormat="1" ht="21.75" customHeight="1" x14ac:dyDescent="0.25">
      <c r="A21" s="208" t="s">
        <v>230</v>
      </c>
      <c r="B21" s="221" t="s">
        <v>224</v>
      </c>
      <c r="C21" s="210" t="s">
        <v>220</v>
      </c>
      <c r="D21" s="229">
        <f>+D22+D23+D24+D25+D26</f>
        <v>0</v>
      </c>
      <c r="E21" s="229">
        <f t="shared" ref="E21:CV21" si="21">+E22+E23+E24+E25+E26</f>
        <v>0</v>
      </c>
      <c r="F21" s="229">
        <f t="shared" si="21"/>
        <v>0</v>
      </c>
      <c r="G21" s="229">
        <f t="shared" si="21"/>
        <v>0</v>
      </c>
      <c r="H21" s="229">
        <f t="shared" si="21"/>
        <v>0</v>
      </c>
      <c r="I21" s="229">
        <f t="shared" si="21"/>
        <v>0</v>
      </c>
      <c r="J21" s="229">
        <f t="shared" si="21"/>
        <v>0</v>
      </c>
      <c r="K21" s="229">
        <f t="shared" si="21"/>
        <v>0</v>
      </c>
      <c r="L21" s="229">
        <f t="shared" si="21"/>
        <v>0</v>
      </c>
      <c r="M21" s="229">
        <f t="shared" si="21"/>
        <v>0</v>
      </c>
      <c r="N21" s="229">
        <f t="shared" si="21"/>
        <v>0</v>
      </c>
      <c r="O21" s="229">
        <f t="shared" si="21"/>
        <v>0</v>
      </c>
      <c r="P21" s="229">
        <f t="shared" si="21"/>
        <v>0</v>
      </c>
      <c r="Q21" s="229">
        <f t="shared" si="21"/>
        <v>0</v>
      </c>
      <c r="R21" s="229">
        <f t="shared" si="21"/>
        <v>0</v>
      </c>
      <c r="S21" s="229">
        <f t="shared" si="21"/>
        <v>0</v>
      </c>
      <c r="T21" s="229">
        <f t="shared" si="21"/>
        <v>0</v>
      </c>
      <c r="U21" s="229">
        <f t="shared" si="21"/>
        <v>0</v>
      </c>
      <c r="V21" s="229">
        <f t="shared" si="21"/>
        <v>0</v>
      </c>
      <c r="W21" s="229">
        <f t="shared" si="21"/>
        <v>0</v>
      </c>
      <c r="X21" s="229">
        <f t="shared" si="21"/>
        <v>0</v>
      </c>
      <c r="Y21" s="229">
        <f t="shared" si="21"/>
        <v>0</v>
      </c>
      <c r="Z21" s="229">
        <f t="shared" si="21"/>
        <v>0</v>
      </c>
      <c r="AA21" s="229">
        <f t="shared" si="21"/>
        <v>0</v>
      </c>
      <c r="AB21" s="229">
        <f t="shared" si="21"/>
        <v>0</v>
      </c>
      <c r="AC21" s="229">
        <f t="shared" si="21"/>
        <v>0</v>
      </c>
      <c r="AD21" s="229">
        <f t="shared" si="21"/>
        <v>0</v>
      </c>
      <c r="AE21" s="229">
        <f t="shared" si="21"/>
        <v>0</v>
      </c>
      <c r="AF21" s="229">
        <f t="shared" si="21"/>
        <v>0</v>
      </c>
      <c r="AG21" s="229">
        <f t="shared" si="21"/>
        <v>0</v>
      </c>
      <c r="AH21" s="229">
        <f t="shared" si="21"/>
        <v>0</v>
      </c>
      <c r="AI21" s="229">
        <f t="shared" si="21"/>
        <v>0</v>
      </c>
      <c r="AJ21" s="229">
        <f t="shared" si="21"/>
        <v>0</v>
      </c>
      <c r="AK21" s="229">
        <f t="shared" si="21"/>
        <v>0</v>
      </c>
      <c r="AL21" s="229">
        <f t="shared" si="21"/>
        <v>0</v>
      </c>
      <c r="AM21" s="229">
        <f t="shared" si="21"/>
        <v>0</v>
      </c>
      <c r="AN21" s="229">
        <f t="shared" si="21"/>
        <v>0</v>
      </c>
      <c r="AO21" s="229">
        <f t="shared" si="21"/>
        <v>0</v>
      </c>
      <c r="AP21" s="229">
        <f t="shared" si="21"/>
        <v>0</v>
      </c>
      <c r="AQ21" s="229">
        <f t="shared" si="21"/>
        <v>0</v>
      </c>
      <c r="AR21" s="229">
        <f t="shared" si="21"/>
        <v>0</v>
      </c>
      <c r="AS21" s="229">
        <f t="shared" si="21"/>
        <v>0</v>
      </c>
      <c r="AT21" s="229">
        <f t="shared" si="21"/>
        <v>0</v>
      </c>
      <c r="AU21" s="229">
        <f t="shared" si="21"/>
        <v>0</v>
      </c>
      <c r="AV21" s="229">
        <f t="shared" si="21"/>
        <v>0</v>
      </c>
      <c r="AW21" s="229">
        <f t="shared" si="21"/>
        <v>0</v>
      </c>
      <c r="AX21" s="229">
        <f t="shared" si="21"/>
        <v>0</v>
      </c>
      <c r="AY21" s="229">
        <f t="shared" si="21"/>
        <v>0</v>
      </c>
      <c r="AZ21" s="229">
        <f t="shared" si="21"/>
        <v>0</v>
      </c>
      <c r="BA21" s="229">
        <f t="shared" si="21"/>
        <v>0</v>
      </c>
      <c r="BB21" s="229">
        <f t="shared" si="21"/>
        <v>0</v>
      </c>
      <c r="BC21" s="229">
        <f t="shared" si="21"/>
        <v>0</v>
      </c>
      <c r="BD21" s="229">
        <f t="shared" si="21"/>
        <v>0</v>
      </c>
      <c r="BE21" s="229">
        <f t="shared" si="21"/>
        <v>0</v>
      </c>
      <c r="BF21" s="229">
        <f t="shared" si="21"/>
        <v>0</v>
      </c>
      <c r="BG21" s="229">
        <f t="shared" si="21"/>
        <v>0</v>
      </c>
      <c r="BH21" s="229">
        <f t="shared" si="21"/>
        <v>0</v>
      </c>
      <c r="BI21" s="229">
        <f t="shared" si="21"/>
        <v>0</v>
      </c>
      <c r="BJ21" s="229">
        <f t="shared" si="21"/>
        <v>0</v>
      </c>
      <c r="BK21" s="229">
        <f t="shared" si="21"/>
        <v>0</v>
      </c>
      <c r="BL21" s="229">
        <f t="shared" si="21"/>
        <v>0</v>
      </c>
      <c r="BM21" s="229">
        <f t="shared" si="21"/>
        <v>0</v>
      </c>
      <c r="BN21" s="229">
        <f t="shared" si="21"/>
        <v>0</v>
      </c>
      <c r="BO21" s="229">
        <f t="shared" si="21"/>
        <v>0</v>
      </c>
      <c r="BP21" s="229">
        <f t="shared" si="21"/>
        <v>0</v>
      </c>
      <c r="BQ21" s="229">
        <f t="shared" si="21"/>
        <v>0</v>
      </c>
      <c r="BR21" s="229">
        <f t="shared" si="21"/>
        <v>0</v>
      </c>
      <c r="BS21" s="229">
        <f t="shared" si="21"/>
        <v>0</v>
      </c>
      <c r="BT21" s="229">
        <f t="shared" si="21"/>
        <v>0</v>
      </c>
      <c r="BU21" s="229">
        <f t="shared" si="21"/>
        <v>0</v>
      </c>
      <c r="BV21" s="229">
        <f t="shared" si="21"/>
        <v>0</v>
      </c>
      <c r="BW21" s="229">
        <f t="shared" si="21"/>
        <v>0</v>
      </c>
      <c r="BX21" s="229">
        <f t="shared" si="21"/>
        <v>0</v>
      </c>
      <c r="BY21" s="229">
        <f t="shared" si="21"/>
        <v>0</v>
      </c>
      <c r="BZ21" s="229">
        <f t="shared" si="21"/>
        <v>0</v>
      </c>
      <c r="CA21" s="229">
        <f t="shared" si="21"/>
        <v>0</v>
      </c>
      <c r="CB21" s="229">
        <f t="shared" si="21"/>
        <v>0</v>
      </c>
      <c r="CC21" s="229">
        <f t="shared" si="21"/>
        <v>0</v>
      </c>
      <c r="CD21" s="229">
        <f t="shared" si="21"/>
        <v>0</v>
      </c>
      <c r="CE21" s="229">
        <f t="shared" si="21"/>
        <v>0</v>
      </c>
      <c r="CF21" s="229">
        <f t="shared" si="21"/>
        <v>0</v>
      </c>
      <c r="CG21" s="229">
        <f t="shared" si="21"/>
        <v>0</v>
      </c>
      <c r="CH21" s="229">
        <f t="shared" si="21"/>
        <v>0</v>
      </c>
      <c r="CI21" s="229">
        <f t="shared" si="21"/>
        <v>0</v>
      </c>
      <c r="CJ21" s="229">
        <f t="shared" si="21"/>
        <v>0</v>
      </c>
      <c r="CK21" s="229">
        <f t="shared" si="21"/>
        <v>0</v>
      </c>
      <c r="CL21" s="229">
        <f t="shared" si="21"/>
        <v>0</v>
      </c>
      <c r="CM21" s="229">
        <f t="shared" si="21"/>
        <v>0</v>
      </c>
      <c r="CN21" s="229">
        <f t="shared" si="21"/>
        <v>0</v>
      </c>
      <c r="CO21" s="229">
        <f t="shared" si="21"/>
        <v>0</v>
      </c>
      <c r="CP21" s="229">
        <f t="shared" si="21"/>
        <v>0</v>
      </c>
      <c r="CQ21" s="229">
        <f t="shared" si="21"/>
        <v>0</v>
      </c>
      <c r="CR21" s="229">
        <f t="shared" si="21"/>
        <v>0</v>
      </c>
      <c r="CS21" s="229">
        <f t="shared" si="21"/>
        <v>0</v>
      </c>
      <c r="CT21" s="229">
        <f t="shared" si="21"/>
        <v>0</v>
      </c>
      <c r="CU21" s="229">
        <f t="shared" si="21"/>
        <v>0</v>
      </c>
      <c r="CV21" s="229">
        <f t="shared" si="21"/>
        <v>0</v>
      </c>
      <c r="CW21" s="229">
        <f t="shared" ref="CW21:FH21" si="22">+CW22+CW23+CW24+CW25+CW26</f>
        <v>0</v>
      </c>
      <c r="CX21" s="229">
        <f t="shared" si="22"/>
        <v>0</v>
      </c>
      <c r="CY21" s="229">
        <f t="shared" si="22"/>
        <v>0</v>
      </c>
      <c r="CZ21" s="229">
        <f t="shared" si="22"/>
        <v>0</v>
      </c>
      <c r="DA21" s="229">
        <f t="shared" si="22"/>
        <v>0</v>
      </c>
      <c r="DB21" s="229">
        <f t="shared" si="22"/>
        <v>0</v>
      </c>
      <c r="DC21" s="229">
        <f t="shared" si="22"/>
        <v>0</v>
      </c>
      <c r="DD21" s="229">
        <f t="shared" si="22"/>
        <v>0</v>
      </c>
      <c r="DE21" s="229">
        <f t="shared" si="22"/>
        <v>0</v>
      </c>
      <c r="DF21" s="229">
        <f t="shared" si="22"/>
        <v>0</v>
      </c>
      <c r="DG21" s="229">
        <f t="shared" si="22"/>
        <v>0</v>
      </c>
      <c r="DH21" s="229">
        <f t="shared" si="22"/>
        <v>0</v>
      </c>
      <c r="DI21" s="229">
        <f t="shared" si="22"/>
        <v>0</v>
      </c>
      <c r="DJ21" s="229">
        <f t="shared" si="22"/>
        <v>0</v>
      </c>
      <c r="DK21" s="229">
        <f t="shared" si="22"/>
        <v>0</v>
      </c>
      <c r="DL21" s="229">
        <f t="shared" si="22"/>
        <v>0</v>
      </c>
      <c r="DM21" s="229">
        <f t="shared" si="22"/>
        <v>0</v>
      </c>
      <c r="DN21" s="229">
        <f t="shared" si="22"/>
        <v>0</v>
      </c>
      <c r="DO21" s="229">
        <f t="shared" si="22"/>
        <v>0</v>
      </c>
      <c r="DP21" s="229">
        <f t="shared" si="22"/>
        <v>0</v>
      </c>
      <c r="DQ21" s="229">
        <f t="shared" si="22"/>
        <v>0</v>
      </c>
      <c r="DR21" s="229">
        <f t="shared" si="22"/>
        <v>0</v>
      </c>
      <c r="DS21" s="229">
        <f t="shared" si="22"/>
        <v>0</v>
      </c>
      <c r="DT21" s="229">
        <f t="shared" si="22"/>
        <v>0</v>
      </c>
      <c r="DU21" s="229">
        <f t="shared" si="22"/>
        <v>0</v>
      </c>
      <c r="DV21" s="229">
        <f t="shared" si="22"/>
        <v>0</v>
      </c>
      <c r="DW21" s="229">
        <f t="shared" si="22"/>
        <v>0</v>
      </c>
      <c r="DX21" s="229">
        <f t="shared" si="22"/>
        <v>0</v>
      </c>
      <c r="DY21" s="229">
        <f t="shared" si="22"/>
        <v>0</v>
      </c>
      <c r="DZ21" s="229">
        <f t="shared" si="22"/>
        <v>0</v>
      </c>
      <c r="EA21" s="229">
        <f t="shared" si="22"/>
        <v>0</v>
      </c>
      <c r="EB21" s="229">
        <f t="shared" si="22"/>
        <v>0</v>
      </c>
      <c r="EC21" s="229">
        <f t="shared" si="22"/>
        <v>0</v>
      </c>
      <c r="ED21" s="229">
        <f t="shared" si="22"/>
        <v>0</v>
      </c>
      <c r="EE21" s="229">
        <f t="shared" si="22"/>
        <v>0</v>
      </c>
      <c r="EF21" s="229">
        <f t="shared" si="22"/>
        <v>0</v>
      </c>
      <c r="EG21" s="229">
        <f t="shared" si="22"/>
        <v>0</v>
      </c>
      <c r="EH21" s="229">
        <f t="shared" si="22"/>
        <v>0</v>
      </c>
      <c r="EI21" s="229">
        <f t="shared" si="22"/>
        <v>0</v>
      </c>
      <c r="EJ21" s="229">
        <f t="shared" si="22"/>
        <v>0</v>
      </c>
      <c r="EK21" s="229">
        <f t="shared" si="22"/>
        <v>0</v>
      </c>
      <c r="EL21" s="229">
        <f t="shared" si="22"/>
        <v>0</v>
      </c>
      <c r="EM21" s="229">
        <f t="shared" si="22"/>
        <v>0</v>
      </c>
      <c r="EN21" s="229">
        <f t="shared" si="22"/>
        <v>0</v>
      </c>
      <c r="EO21" s="229">
        <f t="shared" si="22"/>
        <v>0</v>
      </c>
      <c r="EP21" s="229">
        <f t="shared" si="22"/>
        <v>0</v>
      </c>
      <c r="EQ21" s="229">
        <f t="shared" si="22"/>
        <v>0</v>
      </c>
      <c r="ER21" s="229">
        <f t="shared" si="22"/>
        <v>0</v>
      </c>
      <c r="ES21" s="229">
        <f t="shared" si="22"/>
        <v>0</v>
      </c>
      <c r="ET21" s="229">
        <f t="shared" si="22"/>
        <v>0</v>
      </c>
      <c r="EU21" s="229">
        <f t="shared" si="22"/>
        <v>0</v>
      </c>
      <c r="EV21" s="229">
        <f t="shared" si="22"/>
        <v>0</v>
      </c>
      <c r="EW21" s="229">
        <f t="shared" si="22"/>
        <v>0</v>
      </c>
      <c r="EX21" s="229">
        <f t="shared" si="22"/>
        <v>0</v>
      </c>
      <c r="EY21" s="229">
        <f t="shared" si="22"/>
        <v>0</v>
      </c>
      <c r="EZ21" s="229">
        <f t="shared" si="22"/>
        <v>0</v>
      </c>
      <c r="FA21" s="229">
        <f t="shared" si="22"/>
        <v>0</v>
      </c>
      <c r="FB21" s="229">
        <f t="shared" si="22"/>
        <v>0</v>
      </c>
      <c r="FC21" s="229">
        <f t="shared" si="22"/>
        <v>0</v>
      </c>
      <c r="FD21" s="229">
        <f t="shared" si="22"/>
        <v>0</v>
      </c>
      <c r="FE21" s="229">
        <f t="shared" si="22"/>
        <v>0</v>
      </c>
      <c r="FF21" s="229">
        <f t="shared" si="22"/>
        <v>0</v>
      </c>
      <c r="FG21" s="229">
        <f t="shared" si="22"/>
        <v>0</v>
      </c>
      <c r="FH21" s="229">
        <f t="shared" si="22"/>
        <v>0</v>
      </c>
      <c r="FI21" s="229">
        <f t="shared" ref="FI21:HZ21" si="23">+FI22+FI23+FI24+FI25+FI26</f>
        <v>0</v>
      </c>
      <c r="FJ21" s="229">
        <f t="shared" si="23"/>
        <v>0</v>
      </c>
      <c r="FK21" s="229">
        <f t="shared" si="23"/>
        <v>0</v>
      </c>
      <c r="FL21" s="229">
        <f t="shared" si="23"/>
        <v>0</v>
      </c>
      <c r="FM21" s="229">
        <f t="shared" si="23"/>
        <v>0</v>
      </c>
      <c r="FN21" s="229">
        <f t="shared" si="23"/>
        <v>0</v>
      </c>
      <c r="FO21" s="229">
        <f t="shared" si="23"/>
        <v>0</v>
      </c>
      <c r="FP21" s="229">
        <f t="shared" si="23"/>
        <v>0</v>
      </c>
      <c r="FQ21" s="229">
        <f t="shared" si="23"/>
        <v>0</v>
      </c>
      <c r="FR21" s="229">
        <f t="shared" si="23"/>
        <v>0</v>
      </c>
      <c r="FS21" s="229">
        <f t="shared" si="23"/>
        <v>0</v>
      </c>
      <c r="FT21" s="229">
        <f t="shared" si="23"/>
        <v>0</v>
      </c>
      <c r="FU21" s="229">
        <f t="shared" si="23"/>
        <v>0</v>
      </c>
      <c r="FV21" s="229">
        <f t="shared" si="23"/>
        <v>0</v>
      </c>
      <c r="FW21" s="229">
        <f t="shared" si="23"/>
        <v>0</v>
      </c>
      <c r="FX21" s="229">
        <f t="shared" si="23"/>
        <v>0</v>
      </c>
      <c r="FY21" s="229">
        <f t="shared" si="23"/>
        <v>0</v>
      </c>
      <c r="FZ21" s="229">
        <f t="shared" si="23"/>
        <v>0</v>
      </c>
      <c r="GA21" s="229">
        <f t="shared" si="23"/>
        <v>0</v>
      </c>
      <c r="GB21" s="229">
        <f t="shared" si="23"/>
        <v>0</v>
      </c>
      <c r="GC21" s="229">
        <f t="shared" si="23"/>
        <v>0</v>
      </c>
      <c r="GD21" s="229">
        <f t="shared" si="23"/>
        <v>0</v>
      </c>
      <c r="GE21" s="229">
        <f t="shared" si="23"/>
        <v>0</v>
      </c>
      <c r="GF21" s="229">
        <f t="shared" si="23"/>
        <v>0</v>
      </c>
      <c r="GG21" s="229">
        <f t="shared" si="23"/>
        <v>0</v>
      </c>
      <c r="GH21" s="229">
        <f t="shared" si="23"/>
        <v>0</v>
      </c>
      <c r="GI21" s="229">
        <f t="shared" si="23"/>
        <v>0</v>
      </c>
      <c r="GJ21" s="229">
        <f t="shared" si="23"/>
        <v>0</v>
      </c>
      <c r="GK21" s="229">
        <f>+GK22+GK23+GK24+GK25+GK26</f>
        <v>0</v>
      </c>
      <c r="GL21" s="229">
        <f>+GL22+GL23+GL24+GL25+GL26</f>
        <v>0</v>
      </c>
      <c r="GM21" s="229">
        <f>+GM22+GM23+GM24+GM25+GM26</f>
        <v>0</v>
      </c>
      <c r="GN21" s="229">
        <f t="shared" si="23"/>
        <v>0</v>
      </c>
      <c r="GO21" s="229">
        <f t="shared" si="23"/>
        <v>0</v>
      </c>
      <c r="GP21" s="229">
        <f t="shared" si="23"/>
        <v>0</v>
      </c>
      <c r="GQ21" s="229">
        <f t="shared" si="23"/>
        <v>0</v>
      </c>
      <c r="GR21" s="229">
        <f t="shared" si="23"/>
        <v>0</v>
      </c>
      <c r="GS21" s="229">
        <f t="shared" si="23"/>
        <v>0</v>
      </c>
      <c r="GT21" s="229">
        <f>+GT22+GT23+GT24+GT25+GT26</f>
        <v>0</v>
      </c>
      <c r="GU21" s="229">
        <f>+GU22+GU23+GU24+GU25+GU26</f>
        <v>0</v>
      </c>
      <c r="GV21" s="229">
        <f>+GV22+GV23+GV24+GV25+GV26</f>
        <v>0</v>
      </c>
      <c r="GW21" s="229">
        <f t="shared" si="23"/>
        <v>0</v>
      </c>
      <c r="GX21" s="229">
        <f t="shared" si="23"/>
        <v>0</v>
      </c>
      <c r="GY21" s="229">
        <f t="shared" si="23"/>
        <v>0</v>
      </c>
      <c r="GZ21" s="229">
        <f t="shared" si="23"/>
        <v>0</v>
      </c>
      <c r="HA21" s="229">
        <f t="shared" si="23"/>
        <v>0</v>
      </c>
      <c r="HB21" s="229">
        <f t="shared" si="23"/>
        <v>0</v>
      </c>
      <c r="HC21" s="229">
        <f t="shared" si="23"/>
        <v>0</v>
      </c>
      <c r="HD21" s="229">
        <f t="shared" si="23"/>
        <v>0</v>
      </c>
      <c r="HE21" s="229">
        <f t="shared" si="23"/>
        <v>0</v>
      </c>
      <c r="HF21" s="229">
        <f t="shared" si="23"/>
        <v>0</v>
      </c>
      <c r="HG21" s="229">
        <f t="shared" si="23"/>
        <v>0</v>
      </c>
      <c r="HH21" s="229">
        <f t="shared" si="23"/>
        <v>0</v>
      </c>
      <c r="HI21" s="229">
        <f t="shared" si="23"/>
        <v>0</v>
      </c>
      <c r="HJ21" s="229">
        <f t="shared" si="23"/>
        <v>0</v>
      </c>
      <c r="HK21" s="229">
        <f t="shared" si="23"/>
        <v>0</v>
      </c>
      <c r="HL21" s="229">
        <f t="shared" si="23"/>
        <v>0</v>
      </c>
      <c r="HM21" s="229">
        <f t="shared" si="23"/>
        <v>0</v>
      </c>
      <c r="HN21" s="229">
        <f t="shared" si="23"/>
        <v>0</v>
      </c>
      <c r="HO21" s="229">
        <f t="shared" si="23"/>
        <v>0</v>
      </c>
      <c r="HP21" s="229">
        <f t="shared" si="23"/>
        <v>0</v>
      </c>
      <c r="HQ21" s="229">
        <f t="shared" si="23"/>
        <v>0</v>
      </c>
      <c r="HR21" s="229">
        <f t="shared" si="23"/>
        <v>0</v>
      </c>
      <c r="HS21" s="229">
        <f t="shared" si="23"/>
        <v>0</v>
      </c>
      <c r="HT21" s="229">
        <f t="shared" si="23"/>
        <v>0</v>
      </c>
      <c r="HU21" s="229">
        <f t="shared" si="23"/>
        <v>0</v>
      </c>
      <c r="HV21" s="229">
        <f t="shared" si="23"/>
        <v>0</v>
      </c>
      <c r="HW21" s="229">
        <f t="shared" si="23"/>
        <v>0</v>
      </c>
      <c r="HX21" s="229">
        <f t="shared" si="23"/>
        <v>0</v>
      </c>
      <c r="HY21" s="229">
        <f t="shared" si="23"/>
        <v>0</v>
      </c>
      <c r="HZ21" s="229">
        <f t="shared" si="23"/>
        <v>0</v>
      </c>
      <c r="IA21" s="229">
        <f t="shared" ref="IA21:KL21" si="24">+IA22+IA23+IA24+IA25+IA26</f>
        <v>0</v>
      </c>
      <c r="IB21" s="229">
        <f t="shared" si="24"/>
        <v>0</v>
      </c>
      <c r="IC21" s="229">
        <f t="shared" si="24"/>
        <v>0</v>
      </c>
      <c r="ID21" s="229">
        <f t="shared" si="24"/>
        <v>0</v>
      </c>
      <c r="IE21" s="229">
        <f t="shared" si="24"/>
        <v>0</v>
      </c>
      <c r="IF21" s="229">
        <f t="shared" si="24"/>
        <v>0</v>
      </c>
      <c r="IG21" s="229">
        <f t="shared" si="24"/>
        <v>0</v>
      </c>
      <c r="IH21" s="229">
        <f t="shared" si="24"/>
        <v>0</v>
      </c>
      <c r="II21" s="229">
        <f>+II22+II23+II24+II25+II26</f>
        <v>3575792043</v>
      </c>
      <c r="IJ21" s="229">
        <f t="shared" si="24"/>
        <v>3784748279</v>
      </c>
      <c r="IK21" s="229">
        <f t="shared" si="24"/>
        <v>3222760286</v>
      </c>
      <c r="IL21" s="229">
        <f t="shared" si="24"/>
        <v>0</v>
      </c>
      <c r="IM21" s="229">
        <f t="shared" si="24"/>
        <v>0</v>
      </c>
      <c r="IN21" s="229">
        <f t="shared" si="24"/>
        <v>0</v>
      </c>
      <c r="IO21" s="229">
        <f t="shared" si="24"/>
        <v>0</v>
      </c>
      <c r="IP21" s="229">
        <f t="shared" si="24"/>
        <v>0</v>
      </c>
      <c r="IQ21" s="229">
        <f t="shared" si="24"/>
        <v>0</v>
      </c>
      <c r="IR21" s="229">
        <f t="shared" si="24"/>
        <v>0</v>
      </c>
      <c r="IS21" s="229">
        <f t="shared" si="24"/>
        <v>0</v>
      </c>
      <c r="IT21" s="229">
        <f t="shared" si="24"/>
        <v>0</v>
      </c>
      <c r="IU21" s="229">
        <f t="shared" si="24"/>
        <v>0</v>
      </c>
      <c r="IV21" s="229">
        <f t="shared" si="24"/>
        <v>0</v>
      </c>
      <c r="IW21" s="229">
        <f t="shared" si="24"/>
        <v>0</v>
      </c>
      <c r="IX21" s="229">
        <f t="shared" si="24"/>
        <v>0</v>
      </c>
      <c r="IY21" s="229">
        <f t="shared" si="24"/>
        <v>0</v>
      </c>
      <c r="IZ21" s="229">
        <f t="shared" si="24"/>
        <v>0</v>
      </c>
      <c r="JA21" s="229">
        <f t="shared" si="24"/>
        <v>0</v>
      </c>
      <c r="JB21" s="229">
        <f t="shared" si="24"/>
        <v>0</v>
      </c>
      <c r="JC21" s="229">
        <f t="shared" si="24"/>
        <v>0</v>
      </c>
      <c r="JD21" s="229">
        <f t="shared" si="24"/>
        <v>0</v>
      </c>
      <c r="JE21" s="229">
        <f t="shared" si="24"/>
        <v>0</v>
      </c>
      <c r="JF21" s="229">
        <f t="shared" si="24"/>
        <v>0</v>
      </c>
      <c r="JG21" s="229">
        <f t="shared" si="24"/>
        <v>0</v>
      </c>
      <c r="JH21" s="229">
        <f t="shared" si="24"/>
        <v>0</v>
      </c>
      <c r="JI21" s="229">
        <f t="shared" si="24"/>
        <v>0</v>
      </c>
      <c r="JJ21" s="229">
        <f t="shared" si="24"/>
        <v>0</v>
      </c>
      <c r="JK21" s="229">
        <f t="shared" si="24"/>
        <v>0</v>
      </c>
      <c r="JL21" s="229">
        <f t="shared" si="24"/>
        <v>0</v>
      </c>
      <c r="JM21" s="229">
        <f t="shared" si="24"/>
        <v>0</v>
      </c>
      <c r="JN21" s="229">
        <f t="shared" si="24"/>
        <v>0</v>
      </c>
      <c r="JO21" s="229">
        <f t="shared" si="24"/>
        <v>0</v>
      </c>
      <c r="JP21" s="229">
        <f t="shared" si="24"/>
        <v>0</v>
      </c>
      <c r="JQ21" s="229">
        <f t="shared" si="24"/>
        <v>0</v>
      </c>
      <c r="JR21" s="229">
        <f t="shared" si="24"/>
        <v>0</v>
      </c>
      <c r="JS21" s="229">
        <f t="shared" si="24"/>
        <v>0</v>
      </c>
      <c r="JT21" s="229">
        <f t="shared" si="24"/>
        <v>0</v>
      </c>
      <c r="JU21" s="229">
        <f t="shared" si="24"/>
        <v>0</v>
      </c>
      <c r="JV21" s="229">
        <f t="shared" si="24"/>
        <v>0</v>
      </c>
      <c r="JW21" s="229">
        <f t="shared" si="24"/>
        <v>0</v>
      </c>
      <c r="JX21" s="229">
        <f t="shared" si="24"/>
        <v>0</v>
      </c>
      <c r="JY21" s="229">
        <f t="shared" si="24"/>
        <v>0</v>
      </c>
      <c r="JZ21" s="229">
        <f t="shared" si="24"/>
        <v>0</v>
      </c>
      <c r="KA21" s="229">
        <f t="shared" si="24"/>
        <v>0</v>
      </c>
      <c r="KB21" s="229">
        <f t="shared" si="24"/>
        <v>0</v>
      </c>
      <c r="KC21" s="229">
        <f t="shared" si="24"/>
        <v>0</v>
      </c>
      <c r="KD21" s="229">
        <f t="shared" si="24"/>
        <v>0</v>
      </c>
      <c r="KE21" s="229">
        <f t="shared" si="24"/>
        <v>0</v>
      </c>
      <c r="KF21" s="229">
        <f t="shared" si="24"/>
        <v>0</v>
      </c>
      <c r="KG21" s="229">
        <f t="shared" si="24"/>
        <v>0</v>
      </c>
      <c r="KH21" s="229">
        <f t="shared" si="24"/>
        <v>0</v>
      </c>
      <c r="KI21" s="229">
        <f t="shared" si="24"/>
        <v>0</v>
      </c>
      <c r="KJ21" s="229">
        <f t="shared" si="24"/>
        <v>0</v>
      </c>
      <c r="KK21" s="229">
        <f t="shared" si="24"/>
        <v>0</v>
      </c>
      <c r="KL21" s="229">
        <f t="shared" si="24"/>
        <v>0</v>
      </c>
      <c r="KM21" s="229">
        <f t="shared" ref="KM21:MX21" si="25">+KM22+KM23+KM24+KM25+KM26</f>
        <v>0</v>
      </c>
      <c r="KN21" s="229">
        <f t="shared" si="25"/>
        <v>0</v>
      </c>
      <c r="KO21" s="229">
        <f t="shared" si="25"/>
        <v>0</v>
      </c>
      <c r="KP21" s="229">
        <f t="shared" si="25"/>
        <v>0</v>
      </c>
      <c r="KQ21" s="229">
        <f t="shared" si="25"/>
        <v>0</v>
      </c>
      <c r="KR21" s="229">
        <f t="shared" si="25"/>
        <v>0</v>
      </c>
      <c r="KS21" s="229">
        <f t="shared" si="25"/>
        <v>0</v>
      </c>
      <c r="KT21" s="229">
        <f t="shared" si="25"/>
        <v>0</v>
      </c>
      <c r="KU21" s="229">
        <f t="shared" si="25"/>
        <v>0</v>
      </c>
      <c r="KV21" s="229">
        <f t="shared" si="25"/>
        <v>0</v>
      </c>
      <c r="KW21" s="229">
        <f t="shared" si="25"/>
        <v>0</v>
      </c>
      <c r="KX21" s="229">
        <f t="shared" si="25"/>
        <v>0</v>
      </c>
      <c r="KY21" s="229">
        <f t="shared" si="25"/>
        <v>0</v>
      </c>
      <c r="KZ21" s="229">
        <f t="shared" si="25"/>
        <v>0</v>
      </c>
      <c r="LA21" s="229">
        <f t="shared" si="25"/>
        <v>0</v>
      </c>
      <c r="LB21" s="229">
        <f t="shared" si="25"/>
        <v>0</v>
      </c>
      <c r="LC21" s="229">
        <f t="shared" si="25"/>
        <v>0</v>
      </c>
      <c r="LD21" s="229">
        <f t="shared" si="25"/>
        <v>0</v>
      </c>
      <c r="LE21" s="229">
        <f t="shared" si="25"/>
        <v>0</v>
      </c>
      <c r="LF21" s="229">
        <f t="shared" si="25"/>
        <v>0</v>
      </c>
      <c r="LG21" s="229">
        <f t="shared" si="25"/>
        <v>0</v>
      </c>
      <c r="LH21" s="229">
        <f t="shared" si="25"/>
        <v>0</v>
      </c>
      <c r="LI21" s="229">
        <f t="shared" si="25"/>
        <v>0</v>
      </c>
      <c r="LJ21" s="229">
        <f t="shared" si="25"/>
        <v>0</v>
      </c>
      <c r="LK21" s="229">
        <f t="shared" si="25"/>
        <v>0</v>
      </c>
      <c r="LL21" s="229">
        <f t="shared" si="25"/>
        <v>0</v>
      </c>
      <c r="LM21" s="229">
        <f t="shared" si="25"/>
        <v>0</v>
      </c>
      <c r="LN21" s="229">
        <f t="shared" si="25"/>
        <v>0</v>
      </c>
      <c r="LO21" s="229">
        <f t="shared" si="25"/>
        <v>0</v>
      </c>
      <c r="LP21" s="229">
        <f t="shared" si="25"/>
        <v>0</v>
      </c>
      <c r="LQ21" s="229">
        <f t="shared" si="25"/>
        <v>0</v>
      </c>
      <c r="LR21" s="229">
        <f t="shared" si="25"/>
        <v>0</v>
      </c>
      <c r="LS21" s="229">
        <f t="shared" si="25"/>
        <v>0</v>
      </c>
      <c r="LT21" s="229">
        <f t="shared" si="25"/>
        <v>0</v>
      </c>
      <c r="LU21" s="229">
        <f t="shared" si="25"/>
        <v>0</v>
      </c>
      <c r="LV21" s="229">
        <f t="shared" si="25"/>
        <v>0</v>
      </c>
      <c r="LW21" s="229">
        <f t="shared" si="25"/>
        <v>0</v>
      </c>
      <c r="LX21" s="229">
        <f t="shared" si="25"/>
        <v>0</v>
      </c>
      <c r="LY21" s="229">
        <f t="shared" si="25"/>
        <v>0</v>
      </c>
      <c r="LZ21" s="229">
        <f t="shared" si="25"/>
        <v>0</v>
      </c>
      <c r="MA21" s="229">
        <f t="shared" si="25"/>
        <v>0</v>
      </c>
      <c r="MB21" s="229">
        <f t="shared" si="25"/>
        <v>0</v>
      </c>
      <c r="MC21" s="229">
        <f t="shared" si="25"/>
        <v>0</v>
      </c>
      <c r="MD21" s="229">
        <f t="shared" si="25"/>
        <v>0</v>
      </c>
      <c r="ME21" s="229">
        <f t="shared" si="25"/>
        <v>0</v>
      </c>
      <c r="MF21" s="229">
        <f t="shared" si="25"/>
        <v>0</v>
      </c>
      <c r="MG21" s="229">
        <f t="shared" si="25"/>
        <v>0</v>
      </c>
      <c r="MH21" s="229">
        <f t="shared" si="25"/>
        <v>0</v>
      </c>
      <c r="MI21" s="229">
        <f t="shared" si="25"/>
        <v>0</v>
      </c>
      <c r="MJ21" s="229">
        <f t="shared" si="25"/>
        <v>0</v>
      </c>
      <c r="MK21" s="229">
        <f t="shared" si="25"/>
        <v>0</v>
      </c>
      <c r="ML21" s="229">
        <f t="shared" si="25"/>
        <v>0</v>
      </c>
      <c r="MM21" s="229">
        <f t="shared" si="25"/>
        <v>0</v>
      </c>
      <c r="MN21" s="229">
        <f t="shared" si="25"/>
        <v>0</v>
      </c>
      <c r="MO21" s="229">
        <f t="shared" si="25"/>
        <v>0</v>
      </c>
      <c r="MP21" s="229">
        <f t="shared" si="25"/>
        <v>0</v>
      </c>
      <c r="MQ21" s="229">
        <f t="shared" si="25"/>
        <v>0</v>
      </c>
      <c r="MR21" s="229">
        <f t="shared" si="25"/>
        <v>0</v>
      </c>
      <c r="MS21" s="229">
        <f t="shared" si="25"/>
        <v>0</v>
      </c>
      <c r="MT21" s="229">
        <f t="shared" si="25"/>
        <v>0</v>
      </c>
      <c r="MU21" s="229">
        <f t="shared" si="25"/>
        <v>0</v>
      </c>
      <c r="MV21" s="229">
        <f t="shared" si="25"/>
        <v>0</v>
      </c>
      <c r="MW21" s="229">
        <f t="shared" si="25"/>
        <v>0</v>
      </c>
      <c r="MX21" s="229">
        <f t="shared" si="25"/>
        <v>0</v>
      </c>
      <c r="MY21" s="663">
        <f t="shared" si="0"/>
        <v>3784748279</v>
      </c>
      <c r="MZ21" s="663">
        <f t="shared" si="1"/>
        <v>3222760286</v>
      </c>
      <c r="NA21" s="663">
        <f t="shared" si="2"/>
        <v>0</v>
      </c>
      <c r="NB21" s="663">
        <f t="shared" si="3"/>
        <v>0</v>
      </c>
      <c r="NC21" s="663"/>
      <c r="ND21" s="216" t="e">
        <f>+ND20-#REF!</f>
        <v>#REF!</v>
      </c>
    </row>
    <row r="22" spans="1:369" s="223" customFormat="1" ht="21.75" customHeight="1" x14ac:dyDescent="0.25">
      <c r="A22" s="208" t="s">
        <v>231</v>
      </c>
      <c r="B22" s="222" t="s">
        <v>179</v>
      </c>
      <c r="C22" s="21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c r="DK22" s="248"/>
      <c r="DL22" s="248"/>
      <c r="DM22" s="248"/>
      <c r="DN22" s="239"/>
      <c r="DO22" s="239"/>
      <c r="DP22" s="239"/>
      <c r="DQ22" s="239"/>
      <c r="DR22" s="239"/>
      <c r="DS22" s="239"/>
      <c r="DT22" s="239"/>
      <c r="DU22" s="239"/>
      <c r="DV22" s="239"/>
      <c r="DW22" s="239"/>
      <c r="DX22" s="239"/>
      <c r="DY22" s="239"/>
      <c r="DZ22" s="246"/>
      <c r="EA22" s="246"/>
      <c r="EB22" s="246"/>
      <c r="EC22" s="239"/>
      <c r="ED22" s="239"/>
      <c r="EE22" s="239"/>
      <c r="EF22" s="239"/>
      <c r="EG22" s="239"/>
      <c r="EH22" s="239"/>
      <c r="EI22" s="239"/>
      <c r="EJ22" s="239"/>
      <c r="EK22" s="239"/>
      <c r="EL22" s="239"/>
      <c r="EM22" s="239"/>
      <c r="EN22" s="239"/>
      <c r="EO22" s="239"/>
      <c r="EP22" s="239"/>
      <c r="EQ22" s="239"/>
      <c r="ER22" s="239"/>
      <c r="ES22" s="239"/>
      <c r="ET22" s="239"/>
      <c r="EU22" s="239"/>
      <c r="EV22" s="239"/>
      <c r="EW22" s="239"/>
      <c r="EX22" s="239"/>
      <c r="EY22" s="239"/>
      <c r="EZ22" s="239"/>
      <c r="FA22" s="239"/>
      <c r="FB22" s="239"/>
      <c r="FC22" s="239"/>
      <c r="FD22" s="239"/>
      <c r="FE22" s="239"/>
      <c r="FF22" s="239"/>
      <c r="FG22" s="248"/>
      <c r="FH22" s="248"/>
      <c r="FI22" s="248"/>
      <c r="FJ22" s="248"/>
      <c r="FK22" s="248"/>
      <c r="FL22" s="248"/>
      <c r="FM22" s="239"/>
      <c r="FN22" s="239"/>
      <c r="FO22" s="239"/>
      <c r="FP22" s="239"/>
      <c r="FQ22" s="239"/>
      <c r="FR22" s="239"/>
      <c r="FS22" s="239"/>
      <c r="FT22" s="239"/>
      <c r="FU22" s="239"/>
      <c r="FV22" s="239"/>
      <c r="FW22" s="239"/>
      <c r="FX22" s="239"/>
      <c r="FY22" s="239"/>
      <c r="FZ22" s="239"/>
      <c r="GA22" s="239"/>
      <c r="GB22" s="239"/>
      <c r="GC22" s="239"/>
      <c r="GD22" s="239"/>
      <c r="GE22" s="239"/>
      <c r="GF22" s="239"/>
      <c r="GG22" s="239"/>
      <c r="GH22" s="239"/>
      <c r="GI22" s="239"/>
      <c r="GJ22" s="239"/>
      <c r="GK22" s="239"/>
      <c r="GL22" s="239"/>
      <c r="GM22" s="239"/>
      <c r="GN22" s="239"/>
      <c r="GO22" s="239"/>
      <c r="GP22" s="239"/>
      <c r="GQ22" s="239"/>
      <c r="GR22" s="239"/>
      <c r="GS22" s="239"/>
      <c r="GT22" s="239"/>
      <c r="GU22" s="239"/>
      <c r="GV22" s="239"/>
      <c r="GW22" s="239"/>
      <c r="GX22" s="239"/>
      <c r="GY22" s="239"/>
      <c r="GZ22" s="239"/>
      <c r="HA22" s="239"/>
      <c r="HB22" s="239"/>
      <c r="HC22" s="239"/>
      <c r="HD22" s="239"/>
      <c r="HE22" s="239"/>
      <c r="HF22" s="239"/>
      <c r="HG22" s="239"/>
      <c r="HH22" s="239"/>
      <c r="HI22" s="239"/>
      <c r="HJ22" s="239"/>
      <c r="HK22" s="239"/>
      <c r="HL22" s="239"/>
      <c r="HM22" s="239"/>
      <c r="HN22" s="239"/>
      <c r="HO22" s="239"/>
      <c r="HP22" s="239"/>
      <c r="HQ22" s="239"/>
      <c r="HR22" s="239"/>
      <c r="HS22" s="239"/>
      <c r="HT22" s="239"/>
      <c r="HU22" s="239"/>
      <c r="HV22" s="239"/>
      <c r="HW22" s="239"/>
      <c r="HX22" s="239"/>
      <c r="HY22" s="239"/>
      <c r="HZ22" s="239"/>
      <c r="IA22" s="239"/>
      <c r="IB22" s="239"/>
      <c r="IC22" s="239"/>
      <c r="ID22" s="239"/>
      <c r="IE22" s="239"/>
      <c r="IF22" s="239"/>
      <c r="IG22" s="239"/>
      <c r="IH22" s="239"/>
      <c r="II22" s="246"/>
      <c r="IJ22" s="246"/>
      <c r="IK22" s="246"/>
      <c r="IL22" s="246"/>
      <c r="IM22" s="246"/>
      <c r="IN22" s="246"/>
      <c r="IO22" s="239"/>
      <c r="IP22" s="239"/>
      <c r="IQ22" s="239"/>
      <c r="IR22" s="239"/>
      <c r="IS22" s="239"/>
      <c r="IT22" s="239"/>
      <c r="IU22" s="246"/>
      <c r="IV22" s="246"/>
      <c r="IW22" s="246"/>
      <c r="IX22" s="239"/>
      <c r="IY22" s="239"/>
      <c r="IZ22" s="239"/>
      <c r="JA22" s="239"/>
      <c r="JB22" s="239"/>
      <c r="JC22" s="239"/>
      <c r="JD22" s="239"/>
      <c r="JE22" s="239"/>
      <c r="JF22" s="239"/>
      <c r="JG22" s="239"/>
      <c r="JH22" s="239"/>
      <c r="JI22" s="239"/>
      <c r="JJ22" s="239"/>
      <c r="JK22" s="239"/>
      <c r="JL22" s="239"/>
      <c r="JM22" s="239"/>
      <c r="JN22" s="239"/>
      <c r="JO22" s="239"/>
      <c r="JP22" s="239"/>
      <c r="JQ22" s="239"/>
      <c r="JR22" s="239"/>
      <c r="JS22" s="248"/>
      <c r="JT22" s="248"/>
      <c r="JU22" s="248"/>
      <c r="JV22" s="248"/>
      <c r="JW22" s="248"/>
      <c r="JX22" s="248"/>
      <c r="JY22" s="248"/>
      <c r="JZ22" s="248"/>
      <c r="KA22" s="248"/>
      <c r="KB22" s="248"/>
      <c r="KC22" s="248"/>
      <c r="KD22" s="248"/>
      <c r="KE22" s="248"/>
      <c r="KF22" s="248"/>
      <c r="KG22" s="248"/>
      <c r="KH22" s="248"/>
      <c r="KI22" s="248"/>
      <c r="KJ22" s="248"/>
      <c r="KK22" s="248"/>
      <c r="KL22" s="248"/>
      <c r="KM22" s="248"/>
      <c r="KN22" s="248"/>
      <c r="KO22" s="248"/>
      <c r="KP22" s="248"/>
      <c r="KQ22" s="248"/>
      <c r="KR22" s="248"/>
      <c r="KS22" s="248"/>
      <c r="KT22" s="248"/>
      <c r="KU22" s="248"/>
      <c r="KV22" s="248"/>
      <c r="KW22" s="239"/>
      <c r="KX22" s="239"/>
      <c r="KY22" s="239"/>
      <c r="KZ22" s="239"/>
      <c r="LA22" s="239"/>
      <c r="LB22" s="239"/>
      <c r="LC22" s="239"/>
      <c r="LD22" s="239"/>
      <c r="LE22" s="239"/>
      <c r="LF22" s="239"/>
      <c r="LG22" s="239"/>
      <c r="LH22" s="239"/>
      <c r="LI22" s="239"/>
      <c r="LJ22" s="239"/>
      <c r="LK22" s="239"/>
      <c r="LL22" s="239"/>
      <c r="LM22" s="239"/>
      <c r="LN22" s="239"/>
      <c r="LO22" s="239"/>
      <c r="LP22" s="239"/>
      <c r="LQ22" s="239"/>
      <c r="LR22" s="239"/>
      <c r="LS22" s="239"/>
      <c r="LT22" s="239"/>
      <c r="LU22" s="239"/>
      <c r="LV22" s="239"/>
      <c r="LW22" s="239"/>
      <c r="LX22" s="239"/>
      <c r="LY22" s="239"/>
      <c r="LZ22" s="239"/>
      <c r="MA22" s="239"/>
      <c r="MB22" s="239"/>
      <c r="MC22" s="239"/>
      <c r="MD22" s="239"/>
      <c r="ME22" s="239"/>
      <c r="MF22" s="239"/>
      <c r="MG22" s="239"/>
      <c r="MH22" s="239"/>
      <c r="MI22" s="239"/>
      <c r="MJ22" s="239"/>
      <c r="MK22" s="239"/>
      <c r="ML22" s="239"/>
      <c r="MM22" s="239"/>
      <c r="MN22" s="239"/>
      <c r="MO22" s="239"/>
      <c r="MP22" s="239"/>
      <c r="MQ22" s="239"/>
      <c r="MR22" s="239"/>
      <c r="MS22" s="239"/>
      <c r="MT22" s="239"/>
      <c r="MU22" s="239"/>
      <c r="MV22" s="239"/>
      <c r="MW22" s="239"/>
      <c r="MX22" s="239"/>
      <c r="MY22" s="663">
        <f t="shared" si="0"/>
        <v>0</v>
      </c>
      <c r="MZ22" s="663">
        <f t="shared" si="1"/>
        <v>0</v>
      </c>
      <c r="NA22" s="663">
        <f t="shared" si="2"/>
        <v>0</v>
      </c>
      <c r="NB22" s="663">
        <f t="shared" si="3"/>
        <v>0</v>
      </c>
      <c r="NC22" s="664"/>
    </row>
    <row r="23" spans="1:369" s="223" customFormat="1" ht="21.75" customHeight="1" x14ac:dyDescent="0.25">
      <c r="A23" s="208" t="s">
        <v>232</v>
      </c>
      <c r="B23" s="222" t="s">
        <v>520</v>
      </c>
      <c r="C23" s="21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48"/>
      <c r="DL23" s="248"/>
      <c r="DM23" s="248"/>
      <c r="DN23" s="239"/>
      <c r="DO23" s="239"/>
      <c r="DP23" s="239"/>
      <c r="DQ23" s="239"/>
      <c r="DR23" s="239"/>
      <c r="DS23" s="239"/>
      <c r="DT23" s="239"/>
      <c r="DU23" s="239"/>
      <c r="DV23" s="239"/>
      <c r="DW23" s="239"/>
      <c r="DX23" s="239"/>
      <c r="DY23" s="239"/>
      <c r="DZ23" s="246"/>
      <c r="EA23" s="246"/>
      <c r="EB23" s="246"/>
      <c r="EC23" s="239"/>
      <c r="ED23" s="239"/>
      <c r="EE23" s="239"/>
      <c r="EF23" s="239"/>
      <c r="EG23" s="239"/>
      <c r="EH23" s="239"/>
      <c r="EI23" s="239"/>
      <c r="EJ23" s="239"/>
      <c r="EK23" s="239"/>
      <c r="EL23" s="239"/>
      <c r="EM23" s="239"/>
      <c r="EN23" s="239"/>
      <c r="EO23" s="239"/>
      <c r="EP23" s="239"/>
      <c r="EQ23" s="239"/>
      <c r="ER23" s="239"/>
      <c r="ES23" s="239"/>
      <c r="ET23" s="239"/>
      <c r="EU23" s="239"/>
      <c r="EV23" s="239"/>
      <c r="EW23" s="239"/>
      <c r="EX23" s="239"/>
      <c r="EY23" s="239"/>
      <c r="EZ23" s="239"/>
      <c r="FA23" s="239"/>
      <c r="FB23" s="239"/>
      <c r="FC23" s="239"/>
      <c r="FD23" s="239"/>
      <c r="FE23" s="239"/>
      <c r="FF23" s="239"/>
      <c r="FG23" s="248"/>
      <c r="FH23" s="248"/>
      <c r="FI23" s="248"/>
      <c r="FJ23" s="248"/>
      <c r="FK23" s="248"/>
      <c r="FL23" s="248"/>
      <c r="FM23" s="239"/>
      <c r="FN23" s="239"/>
      <c r="FO23" s="239"/>
      <c r="FP23" s="239"/>
      <c r="FQ23" s="239"/>
      <c r="FR23" s="239"/>
      <c r="FS23" s="239"/>
      <c r="FT23" s="239"/>
      <c r="FU23" s="239"/>
      <c r="FV23" s="239"/>
      <c r="FW23" s="239"/>
      <c r="FX23" s="239"/>
      <c r="FY23" s="239"/>
      <c r="FZ23" s="239"/>
      <c r="GA23" s="239"/>
      <c r="GB23" s="239"/>
      <c r="GC23" s="239"/>
      <c r="GD23" s="239"/>
      <c r="GE23" s="239"/>
      <c r="GF23" s="239"/>
      <c r="GG23" s="239"/>
      <c r="GH23" s="239"/>
      <c r="GI23" s="239"/>
      <c r="GJ23" s="239"/>
      <c r="GK23" s="239"/>
      <c r="GL23" s="239"/>
      <c r="GM23" s="239"/>
      <c r="GN23" s="239"/>
      <c r="GO23" s="239"/>
      <c r="GP23" s="239"/>
      <c r="GQ23" s="239"/>
      <c r="GR23" s="239"/>
      <c r="GS23" s="239"/>
      <c r="GT23" s="239"/>
      <c r="GU23" s="239"/>
      <c r="GV23" s="239"/>
      <c r="GW23" s="239"/>
      <c r="GX23" s="239"/>
      <c r="GY23" s="239"/>
      <c r="GZ23" s="239"/>
      <c r="HA23" s="239"/>
      <c r="HB23" s="239"/>
      <c r="HC23" s="239"/>
      <c r="HD23" s="239"/>
      <c r="HE23" s="239"/>
      <c r="HF23" s="239"/>
      <c r="HG23" s="239"/>
      <c r="HH23" s="239"/>
      <c r="HI23" s="239"/>
      <c r="HJ23" s="239"/>
      <c r="HK23" s="239"/>
      <c r="HL23" s="239"/>
      <c r="HM23" s="239"/>
      <c r="HN23" s="239"/>
      <c r="HO23" s="239"/>
      <c r="HP23" s="239"/>
      <c r="HQ23" s="239"/>
      <c r="HR23" s="239"/>
      <c r="HS23" s="239"/>
      <c r="HT23" s="239"/>
      <c r="HU23" s="239"/>
      <c r="HV23" s="239"/>
      <c r="HW23" s="239"/>
      <c r="HX23" s="239"/>
      <c r="HY23" s="239"/>
      <c r="HZ23" s="239"/>
      <c r="IA23" s="239"/>
      <c r="IB23" s="239"/>
      <c r="IC23" s="239"/>
      <c r="ID23" s="239"/>
      <c r="IE23" s="239"/>
      <c r="IF23" s="239"/>
      <c r="IG23" s="239"/>
      <c r="IH23" s="239"/>
      <c r="II23" s="246">
        <f>+'10.sz.Intézményfinanszírozás'!D16</f>
        <v>3513510223</v>
      </c>
      <c r="IJ23" s="246">
        <v>3686246941</v>
      </c>
      <c r="IK23" s="246">
        <f>3222760286-IK24</f>
        <v>3124258948</v>
      </c>
      <c r="IL23" s="246"/>
      <c r="IM23" s="246"/>
      <c r="IN23" s="246"/>
      <c r="IO23" s="239"/>
      <c r="IP23" s="239"/>
      <c r="IQ23" s="239"/>
      <c r="IR23" s="239"/>
      <c r="IS23" s="239"/>
      <c r="IT23" s="239"/>
      <c r="IU23" s="246"/>
      <c r="IV23" s="246"/>
      <c r="IW23" s="246"/>
      <c r="IX23" s="239"/>
      <c r="IY23" s="239"/>
      <c r="IZ23" s="239"/>
      <c r="JA23" s="239"/>
      <c r="JB23" s="239"/>
      <c r="JC23" s="239"/>
      <c r="JD23" s="239"/>
      <c r="JE23" s="239"/>
      <c r="JF23" s="239"/>
      <c r="JG23" s="239"/>
      <c r="JH23" s="239"/>
      <c r="JI23" s="239"/>
      <c r="JJ23" s="239"/>
      <c r="JK23" s="239"/>
      <c r="JL23" s="239"/>
      <c r="JM23" s="239"/>
      <c r="JN23" s="239"/>
      <c r="JO23" s="239"/>
      <c r="JP23" s="239"/>
      <c r="JQ23" s="239"/>
      <c r="JR23" s="239"/>
      <c r="JS23" s="248"/>
      <c r="JT23" s="248"/>
      <c r="JU23" s="248"/>
      <c r="JV23" s="248"/>
      <c r="JW23" s="248"/>
      <c r="JX23" s="248"/>
      <c r="JY23" s="248"/>
      <c r="JZ23" s="248"/>
      <c r="KA23" s="248"/>
      <c r="KB23" s="248"/>
      <c r="KC23" s="248"/>
      <c r="KD23" s="248"/>
      <c r="KE23" s="248"/>
      <c r="KF23" s="248"/>
      <c r="KG23" s="248"/>
      <c r="KH23" s="248"/>
      <c r="KI23" s="248"/>
      <c r="KJ23" s="248"/>
      <c r="KK23" s="248"/>
      <c r="KL23" s="248"/>
      <c r="KM23" s="248"/>
      <c r="KN23" s="248"/>
      <c r="KO23" s="248"/>
      <c r="KP23" s="248"/>
      <c r="KQ23" s="248"/>
      <c r="KR23" s="248"/>
      <c r="KS23" s="248"/>
      <c r="KT23" s="248"/>
      <c r="KU23" s="248"/>
      <c r="KV23" s="248"/>
      <c r="KW23" s="239"/>
      <c r="KX23" s="239"/>
      <c r="KY23" s="239"/>
      <c r="KZ23" s="239"/>
      <c r="LA23" s="239"/>
      <c r="LB23" s="239"/>
      <c r="LC23" s="239"/>
      <c r="LD23" s="239"/>
      <c r="LE23" s="239"/>
      <c r="LF23" s="239"/>
      <c r="LG23" s="239"/>
      <c r="LH23" s="239"/>
      <c r="LI23" s="239"/>
      <c r="LJ23" s="239"/>
      <c r="LK23" s="239"/>
      <c r="LL23" s="239"/>
      <c r="LM23" s="239"/>
      <c r="LN23" s="239"/>
      <c r="LO23" s="239"/>
      <c r="LP23" s="239"/>
      <c r="LQ23" s="239"/>
      <c r="LR23" s="239"/>
      <c r="LS23" s="239"/>
      <c r="LT23" s="239"/>
      <c r="LU23" s="239"/>
      <c r="LV23" s="239"/>
      <c r="LW23" s="239"/>
      <c r="LX23" s="239"/>
      <c r="LY23" s="239"/>
      <c r="LZ23" s="239"/>
      <c r="MA23" s="239"/>
      <c r="MB23" s="239"/>
      <c r="MC23" s="239"/>
      <c r="MD23" s="239"/>
      <c r="ME23" s="239"/>
      <c r="MF23" s="239"/>
      <c r="MG23" s="239"/>
      <c r="MH23" s="239"/>
      <c r="MI23" s="239"/>
      <c r="MJ23" s="239"/>
      <c r="MK23" s="239"/>
      <c r="ML23" s="239"/>
      <c r="MM23" s="239"/>
      <c r="MN23" s="239"/>
      <c r="MO23" s="239"/>
      <c r="MP23" s="239"/>
      <c r="MQ23" s="239"/>
      <c r="MR23" s="239"/>
      <c r="MS23" s="239"/>
      <c r="MT23" s="239"/>
      <c r="MU23" s="239"/>
      <c r="MV23" s="239"/>
      <c r="MW23" s="239"/>
      <c r="MX23" s="239"/>
      <c r="MY23" s="663">
        <f t="shared" si="0"/>
        <v>3686246941</v>
      </c>
      <c r="MZ23" s="663">
        <f t="shared" si="1"/>
        <v>3124258948</v>
      </c>
      <c r="NA23" s="663">
        <f t="shared" si="2"/>
        <v>0</v>
      </c>
      <c r="NB23" s="663">
        <f t="shared" si="3"/>
        <v>0</v>
      </c>
      <c r="NC23" s="664"/>
    </row>
    <row r="24" spans="1:369" s="223" customFormat="1" ht="21.75" customHeight="1" x14ac:dyDescent="0.25">
      <c r="A24" s="208" t="s">
        <v>233</v>
      </c>
      <c r="B24" s="222" t="s">
        <v>521</v>
      </c>
      <c r="C24" s="21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39"/>
      <c r="DC24" s="239"/>
      <c r="DD24" s="239"/>
      <c r="DE24" s="239"/>
      <c r="DF24" s="239"/>
      <c r="DG24" s="239"/>
      <c r="DH24" s="239"/>
      <c r="DI24" s="239"/>
      <c r="DJ24" s="239"/>
      <c r="DK24" s="248"/>
      <c r="DL24" s="248"/>
      <c r="DM24" s="248"/>
      <c r="DN24" s="239"/>
      <c r="DO24" s="239"/>
      <c r="DP24" s="239"/>
      <c r="DQ24" s="239"/>
      <c r="DR24" s="239"/>
      <c r="DS24" s="239"/>
      <c r="DT24" s="239"/>
      <c r="DU24" s="239"/>
      <c r="DV24" s="239"/>
      <c r="DW24" s="239"/>
      <c r="DX24" s="239"/>
      <c r="DY24" s="239"/>
      <c r="DZ24" s="246"/>
      <c r="EA24" s="246"/>
      <c r="EB24" s="246"/>
      <c r="EC24" s="239"/>
      <c r="ED24" s="239"/>
      <c r="EE24" s="239"/>
      <c r="EF24" s="239"/>
      <c r="EG24" s="239"/>
      <c r="EH24" s="239"/>
      <c r="EI24" s="239"/>
      <c r="EJ24" s="239"/>
      <c r="EK24" s="239"/>
      <c r="EL24" s="239"/>
      <c r="EM24" s="239"/>
      <c r="EN24" s="239"/>
      <c r="EO24" s="239"/>
      <c r="EP24" s="239"/>
      <c r="EQ24" s="239"/>
      <c r="ER24" s="239"/>
      <c r="ES24" s="239"/>
      <c r="ET24" s="239"/>
      <c r="EU24" s="239"/>
      <c r="EV24" s="239"/>
      <c r="EW24" s="239"/>
      <c r="EX24" s="239"/>
      <c r="EY24" s="239"/>
      <c r="EZ24" s="239"/>
      <c r="FA24" s="239"/>
      <c r="FB24" s="239"/>
      <c r="FC24" s="239"/>
      <c r="FD24" s="239"/>
      <c r="FE24" s="239"/>
      <c r="FF24" s="239"/>
      <c r="FG24" s="248"/>
      <c r="FH24" s="248"/>
      <c r="FI24" s="248"/>
      <c r="FJ24" s="248"/>
      <c r="FK24" s="248"/>
      <c r="FL24" s="248"/>
      <c r="FM24" s="239"/>
      <c r="FN24" s="239"/>
      <c r="FO24" s="239"/>
      <c r="FP24" s="239"/>
      <c r="FQ24" s="239"/>
      <c r="FR24" s="239"/>
      <c r="FS24" s="239"/>
      <c r="FT24" s="239"/>
      <c r="FU24" s="239"/>
      <c r="FV24" s="239"/>
      <c r="FW24" s="239"/>
      <c r="FX24" s="239"/>
      <c r="FY24" s="239"/>
      <c r="FZ24" s="239"/>
      <c r="GA24" s="239"/>
      <c r="GB24" s="239"/>
      <c r="GC24" s="239"/>
      <c r="GD24" s="239"/>
      <c r="GE24" s="239"/>
      <c r="GF24" s="239"/>
      <c r="GG24" s="239"/>
      <c r="GH24" s="239"/>
      <c r="GI24" s="239"/>
      <c r="GJ24" s="239"/>
      <c r="GK24" s="239"/>
      <c r="GL24" s="239"/>
      <c r="GM24" s="239"/>
      <c r="GN24" s="239"/>
      <c r="GO24" s="239"/>
      <c r="GP24" s="239"/>
      <c r="GQ24" s="239"/>
      <c r="GR24" s="239"/>
      <c r="GS24" s="239"/>
      <c r="GT24" s="239"/>
      <c r="GU24" s="239"/>
      <c r="GV24" s="239"/>
      <c r="GW24" s="239"/>
      <c r="GX24" s="239"/>
      <c r="GY24" s="239"/>
      <c r="GZ24" s="239"/>
      <c r="HA24" s="239"/>
      <c r="HB24" s="239"/>
      <c r="HC24" s="239"/>
      <c r="HD24" s="239"/>
      <c r="HE24" s="239"/>
      <c r="HF24" s="239"/>
      <c r="HG24" s="239"/>
      <c r="HH24" s="239"/>
      <c r="HI24" s="239"/>
      <c r="HJ24" s="239"/>
      <c r="HK24" s="239"/>
      <c r="HL24" s="239"/>
      <c r="HM24" s="239"/>
      <c r="HN24" s="239"/>
      <c r="HO24" s="239"/>
      <c r="HP24" s="239"/>
      <c r="HQ24" s="239"/>
      <c r="HR24" s="239"/>
      <c r="HS24" s="239"/>
      <c r="HT24" s="239"/>
      <c r="HU24" s="239"/>
      <c r="HV24" s="239"/>
      <c r="HW24" s="239"/>
      <c r="HX24" s="239"/>
      <c r="HY24" s="239"/>
      <c r="HZ24" s="239"/>
      <c r="IA24" s="239"/>
      <c r="IB24" s="239"/>
      <c r="IC24" s="239"/>
      <c r="ID24" s="239"/>
      <c r="IE24" s="239"/>
      <c r="IF24" s="239"/>
      <c r="IG24" s="239"/>
      <c r="IH24" s="239"/>
      <c r="II24" s="246">
        <v>62281820</v>
      </c>
      <c r="IJ24" s="246">
        <v>98501338</v>
      </c>
      <c r="IK24" s="246">
        <v>98501338</v>
      </c>
      <c r="IL24" s="246"/>
      <c r="IM24" s="246"/>
      <c r="IN24" s="246"/>
      <c r="IO24" s="239"/>
      <c r="IP24" s="239"/>
      <c r="IQ24" s="239"/>
      <c r="IR24" s="239"/>
      <c r="IS24" s="239"/>
      <c r="IT24" s="239"/>
      <c r="IU24" s="246"/>
      <c r="IV24" s="246"/>
      <c r="IW24" s="246"/>
      <c r="IX24" s="239"/>
      <c r="IY24" s="239"/>
      <c r="IZ24" s="239"/>
      <c r="JA24" s="239"/>
      <c r="JB24" s="239"/>
      <c r="JC24" s="239"/>
      <c r="JD24" s="239"/>
      <c r="JE24" s="239"/>
      <c r="JF24" s="239"/>
      <c r="JG24" s="239"/>
      <c r="JH24" s="239"/>
      <c r="JI24" s="239"/>
      <c r="JJ24" s="239"/>
      <c r="JK24" s="239"/>
      <c r="JL24" s="239"/>
      <c r="JM24" s="239"/>
      <c r="JN24" s="239"/>
      <c r="JO24" s="239"/>
      <c r="JP24" s="239"/>
      <c r="JQ24" s="239"/>
      <c r="JR24" s="239"/>
      <c r="JS24" s="248"/>
      <c r="JT24" s="248"/>
      <c r="JU24" s="248"/>
      <c r="JV24" s="248"/>
      <c r="JW24" s="248"/>
      <c r="JX24" s="248"/>
      <c r="JY24" s="248"/>
      <c r="JZ24" s="248"/>
      <c r="KA24" s="248"/>
      <c r="KB24" s="248"/>
      <c r="KC24" s="248"/>
      <c r="KD24" s="248"/>
      <c r="KE24" s="248"/>
      <c r="KF24" s="248"/>
      <c r="KG24" s="248"/>
      <c r="KH24" s="248"/>
      <c r="KI24" s="248"/>
      <c r="KJ24" s="248"/>
      <c r="KK24" s="248"/>
      <c r="KL24" s="248"/>
      <c r="KM24" s="248"/>
      <c r="KN24" s="248"/>
      <c r="KO24" s="248"/>
      <c r="KP24" s="248"/>
      <c r="KQ24" s="248"/>
      <c r="KR24" s="248"/>
      <c r="KS24" s="248"/>
      <c r="KT24" s="248"/>
      <c r="KU24" s="248"/>
      <c r="KV24" s="248"/>
      <c r="KW24" s="239"/>
      <c r="KX24" s="239"/>
      <c r="KY24" s="239"/>
      <c r="KZ24" s="239"/>
      <c r="LA24" s="239"/>
      <c r="LB24" s="239"/>
      <c r="LC24" s="239"/>
      <c r="LD24" s="239"/>
      <c r="LE24" s="239"/>
      <c r="LF24" s="239"/>
      <c r="LG24" s="239"/>
      <c r="LH24" s="239"/>
      <c r="LI24" s="239"/>
      <c r="LJ24" s="239"/>
      <c r="LK24" s="239"/>
      <c r="LL24" s="239"/>
      <c r="LM24" s="239"/>
      <c r="LN24" s="239"/>
      <c r="LO24" s="239"/>
      <c r="LP24" s="239"/>
      <c r="LQ24" s="239"/>
      <c r="LR24" s="239"/>
      <c r="LS24" s="239"/>
      <c r="LT24" s="239"/>
      <c r="LU24" s="239"/>
      <c r="LV24" s="239"/>
      <c r="LW24" s="239"/>
      <c r="LX24" s="239"/>
      <c r="LY24" s="239"/>
      <c r="LZ24" s="239"/>
      <c r="MA24" s="239"/>
      <c r="MB24" s="239"/>
      <c r="MC24" s="239"/>
      <c r="MD24" s="239"/>
      <c r="ME24" s="239"/>
      <c r="MF24" s="239"/>
      <c r="MG24" s="239"/>
      <c r="MH24" s="239"/>
      <c r="MI24" s="239"/>
      <c r="MJ24" s="239"/>
      <c r="MK24" s="239"/>
      <c r="ML24" s="239"/>
      <c r="MM24" s="239"/>
      <c r="MN24" s="239"/>
      <c r="MO24" s="239"/>
      <c r="MP24" s="239"/>
      <c r="MQ24" s="239"/>
      <c r="MR24" s="239"/>
      <c r="MS24" s="239"/>
      <c r="MT24" s="239"/>
      <c r="MU24" s="239"/>
      <c r="MV24" s="239"/>
      <c r="MW24" s="239"/>
      <c r="MX24" s="239"/>
      <c r="MY24" s="663">
        <f t="shared" si="0"/>
        <v>98501338</v>
      </c>
      <c r="MZ24" s="663">
        <f t="shared" si="1"/>
        <v>98501338</v>
      </c>
      <c r="NA24" s="663">
        <f t="shared" si="2"/>
        <v>0</v>
      </c>
      <c r="NB24" s="663">
        <f t="shared" si="3"/>
        <v>0</v>
      </c>
      <c r="NC24" s="664"/>
    </row>
    <row r="25" spans="1:369" s="223" customFormat="1" ht="21.75" customHeight="1" x14ac:dyDescent="0.25">
      <c r="A25" s="208" t="s">
        <v>234</v>
      </c>
      <c r="B25" s="222" t="s">
        <v>123</v>
      </c>
      <c r="C25" s="21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239"/>
      <c r="CO25" s="239"/>
      <c r="CP25" s="239"/>
      <c r="CQ25" s="239"/>
      <c r="CR25" s="239"/>
      <c r="CS25" s="239"/>
      <c r="CT25" s="239"/>
      <c r="CU25" s="239"/>
      <c r="CV25" s="239"/>
      <c r="CW25" s="239"/>
      <c r="CX25" s="239"/>
      <c r="CY25" s="239"/>
      <c r="CZ25" s="239"/>
      <c r="DA25" s="239"/>
      <c r="DB25" s="239"/>
      <c r="DC25" s="239"/>
      <c r="DD25" s="239"/>
      <c r="DE25" s="239"/>
      <c r="DF25" s="239"/>
      <c r="DG25" s="239"/>
      <c r="DH25" s="239"/>
      <c r="DI25" s="239"/>
      <c r="DJ25" s="239"/>
      <c r="DK25" s="248"/>
      <c r="DL25" s="248"/>
      <c r="DM25" s="248"/>
      <c r="DN25" s="239"/>
      <c r="DO25" s="239"/>
      <c r="DP25" s="239"/>
      <c r="DQ25" s="239"/>
      <c r="DR25" s="239"/>
      <c r="DS25" s="239"/>
      <c r="DT25" s="239"/>
      <c r="DU25" s="239"/>
      <c r="DV25" s="239"/>
      <c r="DW25" s="239"/>
      <c r="DX25" s="239"/>
      <c r="DY25" s="239"/>
      <c r="DZ25" s="246"/>
      <c r="EA25" s="246"/>
      <c r="EB25" s="246"/>
      <c r="EC25" s="239"/>
      <c r="ED25" s="239"/>
      <c r="EE25" s="239"/>
      <c r="EF25" s="239"/>
      <c r="EG25" s="239"/>
      <c r="EH25" s="239"/>
      <c r="EI25" s="239"/>
      <c r="EJ25" s="239"/>
      <c r="EK25" s="239"/>
      <c r="EL25" s="239"/>
      <c r="EM25" s="239"/>
      <c r="EN25" s="239"/>
      <c r="EO25" s="239"/>
      <c r="EP25" s="239"/>
      <c r="EQ25" s="239"/>
      <c r="ER25" s="239"/>
      <c r="ES25" s="239"/>
      <c r="ET25" s="239"/>
      <c r="EU25" s="239"/>
      <c r="EV25" s="239"/>
      <c r="EW25" s="239"/>
      <c r="EX25" s="239"/>
      <c r="EY25" s="239"/>
      <c r="EZ25" s="239"/>
      <c r="FA25" s="239"/>
      <c r="FB25" s="239"/>
      <c r="FC25" s="239"/>
      <c r="FD25" s="239"/>
      <c r="FE25" s="239"/>
      <c r="FF25" s="239"/>
      <c r="FG25" s="248"/>
      <c r="FH25" s="248"/>
      <c r="FI25" s="248"/>
      <c r="FJ25" s="248"/>
      <c r="FK25" s="248"/>
      <c r="FL25" s="248"/>
      <c r="FM25" s="239"/>
      <c r="FN25" s="239"/>
      <c r="FO25" s="239"/>
      <c r="FP25" s="239"/>
      <c r="FQ25" s="239"/>
      <c r="FR25" s="239"/>
      <c r="FS25" s="239"/>
      <c r="FT25" s="239"/>
      <c r="FU25" s="239"/>
      <c r="FV25" s="239"/>
      <c r="FW25" s="239"/>
      <c r="FX25" s="239"/>
      <c r="FY25" s="239"/>
      <c r="FZ25" s="239"/>
      <c r="GA25" s="239"/>
      <c r="GB25" s="239"/>
      <c r="GC25" s="239"/>
      <c r="GD25" s="239"/>
      <c r="GE25" s="239"/>
      <c r="GF25" s="239"/>
      <c r="GG25" s="239"/>
      <c r="GH25" s="239"/>
      <c r="GI25" s="239"/>
      <c r="GJ25" s="239"/>
      <c r="GK25" s="239"/>
      <c r="GL25" s="239"/>
      <c r="GM25" s="239"/>
      <c r="GN25" s="239"/>
      <c r="GO25" s="239"/>
      <c r="GP25" s="239"/>
      <c r="GQ25" s="239"/>
      <c r="GR25" s="239"/>
      <c r="GS25" s="239"/>
      <c r="GT25" s="239"/>
      <c r="GU25" s="239"/>
      <c r="GV25" s="239"/>
      <c r="GW25" s="239"/>
      <c r="GX25" s="239"/>
      <c r="GY25" s="239"/>
      <c r="GZ25" s="239"/>
      <c r="HA25" s="239"/>
      <c r="HB25" s="239"/>
      <c r="HC25" s="239"/>
      <c r="HD25" s="239"/>
      <c r="HE25" s="239"/>
      <c r="HF25" s="239"/>
      <c r="HG25" s="239"/>
      <c r="HH25" s="239"/>
      <c r="HI25" s="239"/>
      <c r="HJ25" s="239"/>
      <c r="HK25" s="239"/>
      <c r="HL25" s="239"/>
      <c r="HM25" s="239"/>
      <c r="HN25" s="239"/>
      <c r="HO25" s="239"/>
      <c r="HP25" s="239"/>
      <c r="HQ25" s="239"/>
      <c r="HR25" s="239"/>
      <c r="HS25" s="239"/>
      <c r="HT25" s="239"/>
      <c r="HU25" s="239"/>
      <c r="HV25" s="239"/>
      <c r="HW25" s="239"/>
      <c r="HX25" s="239"/>
      <c r="HY25" s="239"/>
      <c r="HZ25" s="239"/>
      <c r="IA25" s="239"/>
      <c r="IB25" s="239"/>
      <c r="IC25" s="239"/>
      <c r="ID25" s="239"/>
      <c r="IE25" s="239"/>
      <c r="IF25" s="239"/>
      <c r="IG25" s="239"/>
      <c r="IH25" s="239"/>
      <c r="II25" s="246"/>
      <c r="IJ25" s="246"/>
      <c r="IK25" s="246"/>
      <c r="IL25" s="246"/>
      <c r="IM25" s="246"/>
      <c r="IN25" s="246"/>
      <c r="IO25" s="239"/>
      <c r="IP25" s="239"/>
      <c r="IQ25" s="239"/>
      <c r="IR25" s="239"/>
      <c r="IS25" s="239"/>
      <c r="IT25" s="239"/>
      <c r="IU25" s="246"/>
      <c r="IV25" s="246"/>
      <c r="IW25" s="246"/>
      <c r="IX25" s="239"/>
      <c r="IY25" s="239"/>
      <c r="IZ25" s="239"/>
      <c r="JA25" s="239"/>
      <c r="JB25" s="239"/>
      <c r="JC25" s="239"/>
      <c r="JD25" s="239"/>
      <c r="JE25" s="239"/>
      <c r="JF25" s="239"/>
      <c r="JG25" s="239"/>
      <c r="JH25" s="239"/>
      <c r="JI25" s="239"/>
      <c r="JJ25" s="239"/>
      <c r="JK25" s="239"/>
      <c r="JL25" s="239"/>
      <c r="JM25" s="239"/>
      <c r="JN25" s="239"/>
      <c r="JO25" s="239"/>
      <c r="JP25" s="239"/>
      <c r="JQ25" s="239"/>
      <c r="JR25" s="239"/>
      <c r="JS25" s="248"/>
      <c r="JT25" s="248"/>
      <c r="JU25" s="248"/>
      <c r="JV25" s="248"/>
      <c r="JW25" s="248"/>
      <c r="JX25" s="248"/>
      <c r="JY25" s="248"/>
      <c r="JZ25" s="248"/>
      <c r="KA25" s="248"/>
      <c r="KB25" s="248"/>
      <c r="KC25" s="248"/>
      <c r="KD25" s="248"/>
      <c r="KE25" s="248"/>
      <c r="KF25" s="248"/>
      <c r="KG25" s="248"/>
      <c r="KH25" s="248"/>
      <c r="KI25" s="248"/>
      <c r="KJ25" s="248"/>
      <c r="KK25" s="248"/>
      <c r="KL25" s="248"/>
      <c r="KM25" s="248"/>
      <c r="KN25" s="248"/>
      <c r="KO25" s="248"/>
      <c r="KP25" s="248"/>
      <c r="KQ25" s="248"/>
      <c r="KR25" s="248"/>
      <c r="KS25" s="248"/>
      <c r="KT25" s="248"/>
      <c r="KU25" s="248"/>
      <c r="KV25" s="248"/>
      <c r="KW25" s="239"/>
      <c r="KX25" s="239"/>
      <c r="KY25" s="239"/>
      <c r="KZ25" s="239"/>
      <c r="LA25" s="239"/>
      <c r="LB25" s="239"/>
      <c r="LC25" s="239"/>
      <c r="LD25" s="239"/>
      <c r="LE25" s="239"/>
      <c r="LF25" s="239"/>
      <c r="LG25" s="239"/>
      <c r="LH25" s="239"/>
      <c r="LI25" s="239"/>
      <c r="LJ25" s="239"/>
      <c r="LK25" s="239"/>
      <c r="LL25" s="239"/>
      <c r="LM25" s="239"/>
      <c r="LN25" s="239"/>
      <c r="LO25" s="239"/>
      <c r="LP25" s="239"/>
      <c r="LQ25" s="239"/>
      <c r="LR25" s="239"/>
      <c r="LS25" s="239"/>
      <c r="LT25" s="239"/>
      <c r="LU25" s="239"/>
      <c r="LV25" s="239"/>
      <c r="LW25" s="239"/>
      <c r="LX25" s="239"/>
      <c r="LY25" s="239"/>
      <c r="LZ25" s="239"/>
      <c r="MA25" s="239"/>
      <c r="MB25" s="239"/>
      <c r="MC25" s="239"/>
      <c r="MD25" s="239"/>
      <c r="ME25" s="239"/>
      <c r="MF25" s="239"/>
      <c r="MG25" s="239"/>
      <c r="MH25" s="239"/>
      <c r="MI25" s="239"/>
      <c r="MJ25" s="239"/>
      <c r="MK25" s="239"/>
      <c r="ML25" s="239"/>
      <c r="MM25" s="239"/>
      <c r="MN25" s="239"/>
      <c r="MO25" s="239"/>
      <c r="MP25" s="239"/>
      <c r="MQ25" s="239"/>
      <c r="MR25" s="239"/>
      <c r="MS25" s="239"/>
      <c r="MT25" s="239"/>
      <c r="MU25" s="239"/>
      <c r="MV25" s="239"/>
      <c r="MW25" s="239"/>
      <c r="MX25" s="239"/>
      <c r="MY25" s="663">
        <f t="shared" si="0"/>
        <v>0</v>
      </c>
      <c r="MZ25" s="663">
        <f t="shared" si="1"/>
        <v>0</v>
      </c>
      <c r="NA25" s="663">
        <f t="shared" si="2"/>
        <v>0</v>
      </c>
      <c r="NB25" s="663">
        <f t="shared" si="3"/>
        <v>0</v>
      </c>
      <c r="NC25" s="664"/>
    </row>
    <row r="26" spans="1:369" s="223" customFormat="1" ht="21.75" customHeight="1" x14ac:dyDescent="0.25">
      <c r="A26" s="208" t="s">
        <v>235</v>
      </c>
      <c r="B26" s="222" t="s">
        <v>742</v>
      </c>
      <c r="C26" s="21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c r="DB26" s="239"/>
      <c r="DC26" s="239"/>
      <c r="DD26" s="239"/>
      <c r="DE26" s="239"/>
      <c r="DF26" s="239"/>
      <c r="DG26" s="239"/>
      <c r="DH26" s="239"/>
      <c r="DI26" s="239"/>
      <c r="DJ26" s="239"/>
      <c r="DK26" s="248"/>
      <c r="DL26" s="248"/>
      <c r="DM26" s="248"/>
      <c r="DN26" s="239"/>
      <c r="DO26" s="239"/>
      <c r="DP26" s="239"/>
      <c r="DQ26" s="239"/>
      <c r="DR26" s="239"/>
      <c r="DS26" s="239"/>
      <c r="DT26" s="239"/>
      <c r="DU26" s="239"/>
      <c r="DV26" s="239"/>
      <c r="DW26" s="239"/>
      <c r="DX26" s="239"/>
      <c r="DY26" s="239"/>
      <c r="DZ26" s="246"/>
      <c r="EA26" s="246"/>
      <c r="EB26" s="246"/>
      <c r="EC26" s="239"/>
      <c r="ED26" s="239"/>
      <c r="EE26" s="239"/>
      <c r="EF26" s="239"/>
      <c r="EG26" s="239"/>
      <c r="EH26" s="239"/>
      <c r="EI26" s="239"/>
      <c r="EJ26" s="239"/>
      <c r="EK26" s="239"/>
      <c r="EL26" s="239"/>
      <c r="EM26" s="239"/>
      <c r="EN26" s="239"/>
      <c r="EO26" s="239"/>
      <c r="EP26" s="239"/>
      <c r="EQ26" s="239"/>
      <c r="ER26" s="239"/>
      <c r="ES26" s="239"/>
      <c r="ET26" s="239"/>
      <c r="EU26" s="239"/>
      <c r="EV26" s="239"/>
      <c r="EW26" s="239"/>
      <c r="EX26" s="239"/>
      <c r="EY26" s="239"/>
      <c r="EZ26" s="239"/>
      <c r="FA26" s="239"/>
      <c r="FB26" s="239"/>
      <c r="FC26" s="239"/>
      <c r="FD26" s="239"/>
      <c r="FE26" s="239"/>
      <c r="FF26" s="239"/>
      <c r="FG26" s="248"/>
      <c r="FH26" s="248"/>
      <c r="FI26" s="248"/>
      <c r="FJ26" s="248"/>
      <c r="FK26" s="248"/>
      <c r="FL26" s="248"/>
      <c r="FM26" s="239"/>
      <c r="FN26" s="239"/>
      <c r="FO26" s="239"/>
      <c r="FP26" s="239"/>
      <c r="FQ26" s="239"/>
      <c r="FR26" s="239"/>
      <c r="FS26" s="239"/>
      <c r="FT26" s="239"/>
      <c r="FU26" s="239"/>
      <c r="FV26" s="239"/>
      <c r="FW26" s="239"/>
      <c r="FX26" s="239"/>
      <c r="FY26" s="239"/>
      <c r="FZ26" s="239"/>
      <c r="GA26" s="239"/>
      <c r="GB26" s="239"/>
      <c r="GC26" s="239"/>
      <c r="GD26" s="239"/>
      <c r="GE26" s="239"/>
      <c r="GF26" s="239"/>
      <c r="GG26" s="239"/>
      <c r="GH26" s="239"/>
      <c r="GI26" s="239"/>
      <c r="GJ26" s="239"/>
      <c r="GK26" s="239"/>
      <c r="GL26" s="239"/>
      <c r="GM26" s="239"/>
      <c r="GN26" s="239"/>
      <c r="GO26" s="239"/>
      <c r="GP26" s="239"/>
      <c r="GQ26" s="239"/>
      <c r="GR26" s="239"/>
      <c r="GS26" s="239"/>
      <c r="GT26" s="239"/>
      <c r="GU26" s="239"/>
      <c r="GV26" s="239"/>
      <c r="GW26" s="239"/>
      <c r="GX26" s="239"/>
      <c r="GY26" s="239"/>
      <c r="GZ26" s="239"/>
      <c r="HA26" s="239"/>
      <c r="HB26" s="239"/>
      <c r="HC26" s="239"/>
      <c r="HD26" s="239"/>
      <c r="HE26" s="239"/>
      <c r="HF26" s="239"/>
      <c r="HG26" s="239"/>
      <c r="HH26" s="239"/>
      <c r="HI26" s="239"/>
      <c r="HJ26" s="239"/>
      <c r="HK26" s="239"/>
      <c r="HL26" s="239"/>
      <c r="HM26" s="239"/>
      <c r="HN26" s="239"/>
      <c r="HO26" s="239"/>
      <c r="HP26" s="239"/>
      <c r="HQ26" s="239"/>
      <c r="HR26" s="239"/>
      <c r="HS26" s="239"/>
      <c r="HT26" s="239"/>
      <c r="HU26" s="239"/>
      <c r="HV26" s="239"/>
      <c r="HW26" s="239"/>
      <c r="HX26" s="239"/>
      <c r="HY26" s="239"/>
      <c r="HZ26" s="239"/>
      <c r="IA26" s="239"/>
      <c r="IB26" s="239"/>
      <c r="IC26" s="239"/>
      <c r="ID26" s="239"/>
      <c r="IE26" s="239"/>
      <c r="IF26" s="239"/>
      <c r="IG26" s="239"/>
      <c r="IH26" s="239"/>
      <c r="II26" s="246"/>
      <c r="IJ26" s="246"/>
      <c r="IK26" s="246"/>
      <c r="IL26" s="246"/>
      <c r="IM26" s="246"/>
      <c r="IN26" s="246"/>
      <c r="IO26" s="239"/>
      <c r="IP26" s="239"/>
      <c r="IQ26" s="239"/>
      <c r="IR26" s="239"/>
      <c r="IS26" s="239"/>
      <c r="IT26" s="239"/>
      <c r="IU26" s="246"/>
      <c r="IV26" s="246"/>
      <c r="IW26" s="246"/>
      <c r="IX26" s="239"/>
      <c r="IY26" s="239"/>
      <c r="IZ26" s="239"/>
      <c r="JA26" s="239"/>
      <c r="JB26" s="239"/>
      <c r="JC26" s="239"/>
      <c r="JD26" s="239"/>
      <c r="JE26" s="239"/>
      <c r="JF26" s="239"/>
      <c r="JG26" s="239"/>
      <c r="JH26" s="239"/>
      <c r="JI26" s="239"/>
      <c r="JJ26" s="239"/>
      <c r="JK26" s="239"/>
      <c r="JL26" s="239"/>
      <c r="JM26" s="239"/>
      <c r="JN26" s="239"/>
      <c r="JO26" s="239"/>
      <c r="JP26" s="239"/>
      <c r="JQ26" s="239"/>
      <c r="JR26" s="239"/>
      <c r="JS26" s="248"/>
      <c r="JT26" s="248"/>
      <c r="JU26" s="248"/>
      <c r="JV26" s="248"/>
      <c r="JW26" s="248"/>
      <c r="JX26" s="248"/>
      <c r="JY26" s="248"/>
      <c r="JZ26" s="248"/>
      <c r="KA26" s="248"/>
      <c r="KB26" s="248"/>
      <c r="KC26" s="248"/>
      <c r="KD26" s="248"/>
      <c r="KE26" s="248"/>
      <c r="KF26" s="248"/>
      <c r="KG26" s="248"/>
      <c r="KH26" s="248"/>
      <c r="KI26" s="248"/>
      <c r="KJ26" s="248"/>
      <c r="KK26" s="248"/>
      <c r="KL26" s="248"/>
      <c r="KM26" s="248"/>
      <c r="KN26" s="248"/>
      <c r="KO26" s="248"/>
      <c r="KP26" s="248"/>
      <c r="KQ26" s="248"/>
      <c r="KR26" s="248"/>
      <c r="KS26" s="248"/>
      <c r="KT26" s="248"/>
      <c r="KU26" s="248"/>
      <c r="KV26" s="248"/>
      <c r="KW26" s="239"/>
      <c r="KX26" s="239"/>
      <c r="KY26" s="239"/>
      <c r="KZ26" s="239"/>
      <c r="LA26" s="239"/>
      <c r="LB26" s="239"/>
      <c r="LC26" s="239"/>
      <c r="LD26" s="239"/>
      <c r="LE26" s="239"/>
      <c r="LF26" s="239"/>
      <c r="LG26" s="239"/>
      <c r="LH26" s="239"/>
      <c r="LI26" s="239"/>
      <c r="LJ26" s="239"/>
      <c r="LK26" s="239"/>
      <c r="LL26" s="239"/>
      <c r="LM26" s="239"/>
      <c r="LN26" s="239"/>
      <c r="LO26" s="239"/>
      <c r="LP26" s="239"/>
      <c r="LQ26" s="239"/>
      <c r="LR26" s="239"/>
      <c r="LS26" s="239"/>
      <c r="LT26" s="239"/>
      <c r="LU26" s="239"/>
      <c r="LV26" s="239"/>
      <c r="LW26" s="239"/>
      <c r="LX26" s="239"/>
      <c r="LY26" s="239"/>
      <c r="LZ26" s="239"/>
      <c r="MA26" s="239"/>
      <c r="MB26" s="239"/>
      <c r="MC26" s="239"/>
      <c r="MD26" s="239"/>
      <c r="ME26" s="239"/>
      <c r="MF26" s="239"/>
      <c r="MG26" s="239"/>
      <c r="MH26" s="239"/>
      <c r="MI26" s="239"/>
      <c r="MJ26" s="239"/>
      <c r="MK26" s="239"/>
      <c r="ML26" s="239"/>
      <c r="MM26" s="239"/>
      <c r="MN26" s="239"/>
      <c r="MO26" s="239"/>
      <c r="MP26" s="239"/>
      <c r="MQ26" s="239"/>
      <c r="MR26" s="239"/>
      <c r="MS26" s="239"/>
      <c r="MT26" s="239"/>
      <c r="MU26" s="239"/>
      <c r="MV26" s="239"/>
      <c r="MW26" s="239"/>
      <c r="MX26" s="239"/>
      <c r="MY26" s="663">
        <f t="shared" si="0"/>
        <v>0</v>
      </c>
      <c r="MZ26" s="663">
        <f t="shared" si="1"/>
        <v>0</v>
      </c>
      <c r="NA26" s="663">
        <f t="shared" si="2"/>
        <v>0</v>
      </c>
      <c r="NB26" s="663">
        <f t="shared" si="3"/>
        <v>0</v>
      </c>
      <c r="NC26" s="664"/>
    </row>
    <row r="27" spans="1:369" s="215" customFormat="1" ht="21.75" customHeight="1" x14ac:dyDescent="0.25">
      <c r="A27" s="208" t="s">
        <v>236</v>
      </c>
      <c r="B27" s="224" t="s">
        <v>32</v>
      </c>
      <c r="C27" s="210"/>
      <c r="D27" s="229">
        <f>+D8+D9+D10+D11+D13+D14+D22+D23+D15+D26</f>
        <v>0</v>
      </c>
      <c r="E27" s="229">
        <f t="shared" ref="E27:CV27" si="26">+E8+E9+E10+E11+E13+E14+E22+E23+E15+E26</f>
        <v>0</v>
      </c>
      <c r="F27" s="229">
        <f t="shared" si="26"/>
        <v>0</v>
      </c>
      <c r="G27" s="229">
        <f t="shared" si="26"/>
        <v>0</v>
      </c>
      <c r="H27" s="229">
        <f t="shared" si="26"/>
        <v>0</v>
      </c>
      <c r="I27" s="229">
        <f t="shared" si="26"/>
        <v>0</v>
      </c>
      <c r="J27" s="229">
        <f t="shared" si="26"/>
        <v>0</v>
      </c>
      <c r="K27" s="229">
        <f t="shared" si="26"/>
        <v>0</v>
      </c>
      <c r="L27" s="229">
        <f t="shared" si="26"/>
        <v>0</v>
      </c>
      <c r="M27" s="229">
        <f t="shared" si="26"/>
        <v>0</v>
      </c>
      <c r="N27" s="229">
        <f t="shared" si="26"/>
        <v>0</v>
      </c>
      <c r="O27" s="229">
        <f t="shared" si="26"/>
        <v>0</v>
      </c>
      <c r="P27" s="229">
        <f t="shared" si="26"/>
        <v>0</v>
      </c>
      <c r="Q27" s="229">
        <f t="shared" si="26"/>
        <v>0</v>
      </c>
      <c r="R27" s="229">
        <f t="shared" si="26"/>
        <v>0</v>
      </c>
      <c r="S27" s="229">
        <f t="shared" si="26"/>
        <v>0</v>
      </c>
      <c r="T27" s="229">
        <f t="shared" si="26"/>
        <v>0</v>
      </c>
      <c r="U27" s="229">
        <f t="shared" si="26"/>
        <v>0</v>
      </c>
      <c r="V27" s="229">
        <f t="shared" si="26"/>
        <v>0</v>
      </c>
      <c r="W27" s="229">
        <f t="shared" si="26"/>
        <v>0</v>
      </c>
      <c r="X27" s="229">
        <f t="shared" si="26"/>
        <v>0</v>
      </c>
      <c r="Y27" s="229">
        <f t="shared" si="26"/>
        <v>0</v>
      </c>
      <c r="Z27" s="229">
        <f t="shared" si="26"/>
        <v>0</v>
      </c>
      <c r="AA27" s="229">
        <f t="shared" si="26"/>
        <v>0</v>
      </c>
      <c r="AB27" s="229">
        <f t="shared" si="26"/>
        <v>1000000</v>
      </c>
      <c r="AC27" s="229">
        <f t="shared" si="26"/>
        <v>1000000</v>
      </c>
      <c r="AD27" s="229">
        <f t="shared" si="26"/>
        <v>0</v>
      </c>
      <c r="AE27" s="229">
        <f t="shared" si="26"/>
        <v>10027494</v>
      </c>
      <c r="AF27" s="229">
        <f t="shared" si="26"/>
        <v>30728244</v>
      </c>
      <c r="AG27" s="229">
        <f t="shared" si="26"/>
        <v>27314173</v>
      </c>
      <c r="AH27" s="229">
        <f t="shared" si="26"/>
        <v>0</v>
      </c>
      <c r="AI27" s="229">
        <f t="shared" si="26"/>
        <v>0</v>
      </c>
      <c r="AJ27" s="229">
        <f t="shared" si="26"/>
        <v>0</v>
      </c>
      <c r="AK27" s="229">
        <f t="shared" si="26"/>
        <v>0</v>
      </c>
      <c r="AL27" s="229">
        <f t="shared" si="26"/>
        <v>160000</v>
      </c>
      <c r="AM27" s="229">
        <f t="shared" si="26"/>
        <v>160000</v>
      </c>
      <c r="AN27" s="229">
        <f t="shared" si="26"/>
        <v>0</v>
      </c>
      <c r="AO27" s="229">
        <f t="shared" si="26"/>
        <v>0</v>
      </c>
      <c r="AP27" s="229">
        <f t="shared" si="26"/>
        <v>0</v>
      </c>
      <c r="AQ27" s="229">
        <f t="shared" si="26"/>
        <v>0</v>
      </c>
      <c r="AR27" s="229">
        <f t="shared" si="26"/>
        <v>0</v>
      </c>
      <c r="AS27" s="229">
        <f t="shared" si="26"/>
        <v>0</v>
      </c>
      <c r="AT27" s="229">
        <f t="shared" si="26"/>
        <v>0</v>
      </c>
      <c r="AU27" s="229">
        <f t="shared" si="26"/>
        <v>0</v>
      </c>
      <c r="AV27" s="229">
        <f t="shared" si="26"/>
        <v>0</v>
      </c>
      <c r="AW27" s="229">
        <f t="shared" si="26"/>
        <v>0</v>
      </c>
      <c r="AX27" s="229">
        <f t="shared" si="26"/>
        <v>0</v>
      </c>
      <c r="AY27" s="229">
        <f t="shared" si="26"/>
        <v>0</v>
      </c>
      <c r="AZ27" s="229">
        <f t="shared" si="26"/>
        <v>90789600</v>
      </c>
      <c r="BA27" s="229">
        <f t="shared" si="26"/>
        <v>104337678</v>
      </c>
      <c r="BB27" s="229">
        <f t="shared" si="26"/>
        <v>88277603</v>
      </c>
      <c r="BC27" s="229">
        <f t="shared" si="26"/>
        <v>93497680</v>
      </c>
      <c r="BD27" s="229">
        <f t="shared" si="26"/>
        <v>133101385</v>
      </c>
      <c r="BE27" s="229">
        <f t="shared" si="26"/>
        <v>114932223</v>
      </c>
      <c r="BF27" s="229">
        <f t="shared" si="26"/>
        <v>0</v>
      </c>
      <c r="BG27" s="229">
        <f t="shared" si="26"/>
        <v>0</v>
      </c>
      <c r="BH27" s="229">
        <f t="shared" si="26"/>
        <v>0</v>
      </c>
      <c r="BI27" s="229">
        <f t="shared" si="26"/>
        <v>8981569</v>
      </c>
      <c r="BJ27" s="229">
        <f t="shared" si="26"/>
        <v>10484010</v>
      </c>
      <c r="BK27" s="229">
        <f t="shared" si="26"/>
        <v>7393970</v>
      </c>
      <c r="BL27" s="229">
        <f t="shared" si="26"/>
        <v>0</v>
      </c>
      <c r="BM27" s="229">
        <f t="shared" si="26"/>
        <v>0</v>
      </c>
      <c r="BN27" s="229">
        <f t="shared" si="26"/>
        <v>0</v>
      </c>
      <c r="BO27" s="229">
        <f t="shared" si="26"/>
        <v>0</v>
      </c>
      <c r="BP27" s="229">
        <f t="shared" si="26"/>
        <v>0</v>
      </c>
      <c r="BQ27" s="229">
        <f t="shared" si="26"/>
        <v>0</v>
      </c>
      <c r="BR27" s="229">
        <f t="shared" si="26"/>
        <v>26400000</v>
      </c>
      <c r="BS27" s="229">
        <f t="shared" si="26"/>
        <v>25563553</v>
      </c>
      <c r="BT27" s="229">
        <f t="shared" si="26"/>
        <v>24418959</v>
      </c>
      <c r="BU27" s="229">
        <f t="shared" si="26"/>
        <v>10000000</v>
      </c>
      <c r="BV27" s="229">
        <f t="shared" si="26"/>
        <v>5000000</v>
      </c>
      <c r="BW27" s="229">
        <f t="shared" si="26"/>
        <v>4914900</v>
      </c>
      <c r="BX27" s="229">
        <f t="shared" si="26"/>
        <v>25000000</v>
      </c>
      <c r="BY27" s="229">
        <f t="shared" si="26"/>
        <v>22024600</v>
      </c>
      <c r="BZ27" s="229">
        <f t="shared" si="26"/>
        <v>21924600</v>
      </c>
      <c r="CA27" s="229">
        <f t="shared" si="26"/>
        <v>298950943</v>
      </c>
      <c r="CB27" s="229">
        <f t="shared" si="26"/>
        <v>292971255</v>
      </c>
      <c r="CC27" s="229">
        <f t="shared" si="26"/>
        <v>276414652</v>
      </c>
      <c r="CD27" s="229">
        <f t="shared" si="26"/>
        <v>43128038</v>
      </c>
      <c r="CE27" s="229">
        <f t="shared" si="26"/>
        <v>46905466</v>
      </c>
      <c r="CF27" s="229">
        <f t="shared" si="26"/>
        <v>34738224</v>
      </c>
      <c r="CG27" s="229">
        <f t="shared" si="26"/>
        <v>51500000</v>
      </c>
      <c r="CH27" s="229">
        <f t="shared" si="26"/>
        <v>29146500</v>
      </c>
      <c r="CI27" s="229">
        <f t="shared" si="26"/>
        <v>29146500</v>
      </c>
      <c r="CJ27" s="229">
        <f t="shared" si="26"/>
        <v>5300000</v>
      </c>
      <c r="CK27" s="229">
        <f t="shared" si="26"/>
        <v>13424552</v>
      </c>
      <c r="CL27" s="229">
        <f t="shared" si="26"/>
        <v>13362453</v>
      </c>
      <c r="CM27" s="229">
        <f t="shared" si="26"/>
        <v>194079193</v>
      </c>
      <c r="CN27" s="229">
        <f t="shared" si="26"/>
        <v>200780446</v>
      </c>
      <c r="CO27" s="229">
        <f t="shared" si="26"/>
        <v>177600406</v>
      </c>
      <c r="CP27" s="229">
        <f t="shared" si="26"/>
        <v>101000000</v>
      </c>
      <c r="CQ27" s="229">
        <f t="shared" si="26"/>
        <v>120507757</v>
      </c>
      <c r="CR27" s="229">
        <f t="shared" si="26"/>
        <v>116788466</v>
      </c>
      <c r="CS27" s="229">
        <f t="shared" si="26"/>
        <v>36276653</v>
      </c>
      <c r="CT27" s="229">
        <f t="shared" si="26"/>
        <v>42058926</v>
      </c>
      <c r="CU27" s="229">
        <f t="shared" si="26"/>
        <v>27305940</v>
      </c>
      <c r="CV27" s="229">
        <f t="shared" si="26"/>
        <v>6630000</v>
      </c>
      <c r="CW27" s="229">
        <f t="shared" ref="CW27:FH27" si="27">+CW8+CW9+CW10+CW11+CW13+CW14+CW22+CW23+CW15+CW26</f>
        <v>9110000</v>
      </c>
      <c r="CX27" s="229">
        <f t="shared" si="27"/>
        <v>8526276</v>
      </c>
      <c r="CY27" s="229">
        <f t="shared" si="27"/>
        <v>20722250</v>
      </c>
      <c r="CZ27" s="229">
        <f t="shared" si="27"/>
        <v>20722250</v>
      </c>
      <c r="DA27" s="229">
        <f t="shared" si="27"/>
        <v>13648000</v>
      </c>
      <c r="DB27" s="229">
        <f t="shared" si="27"/>
        <v>9152000</v>
      </c>
      <c r="DC27" s="229">
        <f t="shared" si="27"/>
        <v>7462751</v>
      </c>
      <c r="DD27" s="229">
        <f t="shared" si="27"/>
        <v>7116751</v>
      </c>
      <c r="DE27" s="229">
        <f t="shared" si="27"/>
        <v>19609600</v>
      </c>
      <c r="DF27" s="229">
        <f t="shared" si="27"/>
        <v>20435100</v>
      </c>
      <c r="DG27" s="229">
        <f t="shared" si="27"/>
        <v>6724651</v>
      </c>
      <c r="DH27" s="229">
        <f t="shared" si="27"/>
        <v>37547077</v>
      </c>
      <c r="DI27" s="229">
        <f t="shared" si="27"/>
        <v>55672327</v>
      </c>
      <c r="DJ27" s="229">
        <f t="shared" si="27"/>
        <v>33977618</v>
      </c>
      <c r="DK27" s="229">
        <f t="shared" si="27"/>
        <v>0</v>
      </c>
      <c r="DL27" s="229">
        <f t="shared" si="27"/>
        <v>0</v>
      </c>
      <c r="DM27" s="229">
        <f t="shared" si="27"/>
        <v>0</v>
      </c>
      <c r="DN27" s="229">
        <f t="shared" si="27"/>
        <v>2000000</v>
      </c>
      <c r="DO27" s="229">
        <f t="shared" si="27"/>
        <v>2000000</v>
      </c>
      <c r="DP27" s="229">
        <f t="shared" si="27"/>
        <v>1574800</v>
      </c>
      <c r="DQ27" s="229">
        <f t="shared" si="27"/>
        <v>0</v>
      </c>
      <c r="DR27" s="229">
        <f t="shared" si="27"/>
        <v>240000</v>
      </c>
      <c r="DS27" s="229">
        <f t="shared" si="27"/>
        <v>240000</v>
      </c>
      <c r="DT27" s="229">
        <f t="shared" si="27"/>
        <v>500000</v>
      </c>
      <c r="DU27" s="229">
        <f t="shared" si="27"/>
        <v>500000</v>
      </c>
      <c r="DV27" s="229">
        <f t="shared" si="27"/>
        <v>0</v>
      </c>
      <c r="DW27" s="229">
        <f t="shared" si="27"/>
        <v>3465000</v>
      </c>
      <c r="DX27" s="229">
        <f t="shared" si="27"/>
        <v>3665000</v>
      </c>
      <c r="DY27" s="229">
        <f t="shared" si="27"/>
        <v>1932731</v>
      </c>
      <c r="DZ27" s="229">
        <f t="shared" si="27"/>
        <v>16434280</v>
      </c>
      <c r="EA27" s="229">
        <f t="shared" si="27"/>
        <v>16434280</v>
      </c>
      <c r="EB27" s="229">
        <f t="shared" si="27"/>
        <v>9796253</v>
      </c>
      <c r="EC27" s="229">
        <f t="shared" si="27"/>
        <v>34386460</v>
      </c>
      <c r="ED27" s="229">
        <f t="shared" si="27"/>
        <v>41075460</v>
      </c>
      <c r="EE27" s="229">
        <f t="shared" si="27"/>
        <v>31917489</v>
      </c>
      <c r="EF27" s="229">
        <f t="shared" si="27"/>
        <v>1500000</v>
      </c>
      <c r="EG27" s="229">
        <f t="shared" si="27"/>
        <v>1445010</v>
      </c>
      <c r="EH27" s="229">
        <f t="shared" si="27"/>
        <v>564663</v>
      </c>
      <c r="EI27" s="229">
        <f t="shared" si="27"/>
        <v>2000000</v>
      </c>
      <c r="EJ27" s="229">
        <f t="shared" si="27"/>
        <v>23285331</v>
      </c>
      <c r="EK27" s="229">
        <f t="shared" si="27"/>
        <v>19820707</v>
      </c>
      <c r="EL27" s="229">
        <f t="shared" si="27"/>
        <v>1011638</v>
      </c>
      <c r="EM27" s="229">
        <f t="shared" si="27"/>
        <v>1026838</v>
      </c>
      <c r="EN27" s="229">
        <f t="shared" si="27"/>
        <v>389068</v>
      </c>
      <c r="EO27" s="229">
        <f t="shared" si="27"/>
        <v>27104662</v>
      </c>
      <c r="EP27" s="229">
        <f t="shared" si="27"/>
        <v>27780808</v>
      </c>
      <c r="EQ27" s="229">
        <f t="shared" si="27"/>
        <v>21064820</v>
      </c>
      <c r="ER27" s="229">
        <f t="shared" si="27"/>
        <v>69033842</v>
      </c>
      <c r="ES27" s="229">
        <f t="shared" si="27"/>
        <v>74995680</v>
      </c>
      <c r="ET27" s="229">
        <f t="shared" si="27"/>
        <v>61617685</v>
      </c>
      <c r="EU27" s="229">
        <f t="shared" si="27"/>
        <v>84578100</v>
      </c>
      <c r="EV27" s="229">
        <f t="shared" si="27"/>
        <v>177307013</v>
      </c>
      <c r="EW27" s="229">
        <f t="shared" si="27"/>
        <v>159787286</v>
      </c>
      <c r="EX27" s="229">
        <f t="shared" si="27"/>
        <v>36686300</v>
      </c>
      <c r="EY27" s="229">
        <f t="shared" si="27"/>
        <v>36946310</v>
      </c>
      <c r="EZ27" s="229">
        <f t="shared" si="27"/>
        <v>25415920</v>
      </c>
      <c r="FA27" s="229">
        <f t="shared" si="27"/>
        <v>52794000</v>
      </c>
      <c r="FB27" s="229">
        <f t="shared" si="27"/>
        <v>60826982</v>
      </c>
      <c r="FC27" s="229">
        <f t="shared" si="27"/>
        <v>56111378</v>
      </c>
      <c r="FD27" s="229">
        <f t="shared" si="27"/>
        <v>2000000</v>
      </c>
      <c r="FE27" s="229">
        <f t="shared" si="27"/>
        <v>2018945</v>
      </c>
      <c r="FF27" s="229">
        <f t="shared" si="27"/>
        <v>724057</v>
      </c>
      <c r="FG27" s="229">
        <f t="shared" si="27"/>
        <v>80356388</v>
      </c>
      <c r="FH27" s="229">
        <f t="shared" si="27"/>
        <v>98166976</v>
      </c>
      <c r="FI27" s="229">
        <f t="shared" ref="FI27:HZ27" si="28">+FI8+FI9+FI10+FI11+FI13+FI14+FI22+FI23+FI15+FI26</f>
        <v>81442041</v>
      </c>
      <c r="FJ27" s="229">
        <f t="shared" si="28"/>
        <v>13000000</v>
      </c>
      <c r="FK27" s="229">
        <f t="shared" si="28"/>
        <v>17768251</v>
      </c>
      <c r="FL27" s="229">
        <f t="shared" si="28"/>
        <v>17768251</v>
      </c>
      <c r="FM27" s="229">
        <f t="shared" si="28"/>
        <v>24000000</v>
      </c>
      <c r="FN27" s="229">
        <f t="shared" si="28"/>
        <v>24000000</v>
      </c>
      <c r="FO27" s="229">
        <f t="shared" si="28"/>
        <v>23724660</v>
      </c>
      <c r="FP27" s="229">
        <f t="shared" si="28"/>
        <v>2650000</v>
      </c>
      <c r="FQ27" s="229">
        <f t="shared" si="28"/>
        <v>2850000</v>
      </c>
      <c r="FR27" s="229">
        <f t="shared" si="28"/>
        <v>2188901</v>
      </c>
      <c r="FS27" s="229">
        <f t="shared" si="28"/>
        <v>500000</v>
      </c>
      <c r="FT27" s="229">
        <f t="shared" si="28"/>
        <v>572000</v>
      </c>
      <c r="FU27" s="229">
        <f t="shared" si="28"/>
        <v>372000</v>
      </c>
      <c r="FV27" s="229">
        <f t="shared" si="28"/>
        <v>3840000</v>
      </c>
      <c r="FW27" s="229">
        <f t="shared" si="28"/>
        <v>4160000</v>
      </c>
      <c r="FX27" s="229">
        <f t="shared" si="28"/>
        <v>3789988</v>
      </c>
      <c r="FY27" s="229">
        <f t="shared" si="28"/>
        <v>0</v>
      </c>
      <c r="FZ27" s="229">
        <f t="shared" si="28"/>
        <v>0</v>
      </c>
      <c r="GA27" s="229">
        <f t="shared" si="28"/>
        <v>0</v>
      </c>
      <c r="GB27" s="229">
        <f t="shared" si="28"/>
        <v>0</v>
      </c>
      <c r="GC27" s="229">
        <f t="shared" si="28"/>
        <v>0</v>
      </c>
      <c r="GD27" s="229">
        <f t="shared" si="28"/>
        <v>0</v>
      </c>
      <c r="GE27" s="229">
        <f t="shared" si="28"/>
        <v>0</v>
      </c>
      <c r="GF27" s="229">
        <f t="shared" si="28"/>
        <v>7049140</v>
      </c>
      <c r="GG27" s="229">
        <f t="shared" si="28"/>
        <v>7049140</v>
      </c>
      <c r="GH27" s="229">
        <f t="shared" si="28"/>
        <v>0</v>
      </c>
      <c r="GI27" s="229">
        <f t="shared" si="28"/>
        <v>0</v>
      </c>
      <c r="GJ27" s="229">
        <f t="shared" si="28"/>
        <v>0</v>
      </c>
      <c r="GK27" s="229">
        <f>+GK8+GK9+GK10+GK11+GK13+GK14+GK22+GK23+GK15+GK26</f>
        <v>0</v>
      </c>
      <c r="GL27" s="229">
        <f>+GL8+GL9+GL10+GL11+GL13+GL14+GL22+GL23+GL15+GL26</f>
        <v>1626378</v>
      </c>
      <c r="GM27" s="229">
        <f>+GM8+GM9+GM10+GM11+GM13+GM14+GM22+GM23+GM15+GM26</f>
        <v>0</v>
      </c>
      <c r="GN27" s="229">
        <f t="shared" si="28"/>
        <v>0</v>
      </c>
      <c r="GO27" s="229">
        <f t="shared" si="28"/>
        <v>208661</v>
      </c>
      <c r="GP27" s="229">
        <f t="shared" si="28"/>
        <v>208661</v>
      </c>
      <c r="GQ27" s="229">
        <f t="shared" si="28"/>
        <v>0</v>
      </c>
      <c r="GR27" s="229">
        <f t="shared" si="28"/>
        <v>0</v>
      </c>
      <c r="GS27" s="229">
        <f t="shared" si="28"/>
        <v>0</v>
      </c>
      <c r="GT27" s="229">
        <f>+GT8+GT9+GT10+GT11+GT13+GT14+GT22+GT23+GT15+GT26</f>
        <v>0</v>
      </c>
      <c r="GU27" s="229">
        <f>+GU8+GU9+GU10+GU11+GU13+GU14+GU22+GU23+GU15+GU26</f>
        <v>9347819</v>
      </c>
      <c r="GV27" s="229">
        <f>+GV8+GV9+GV10+GV11+GV13+GV14+GV22+GV23+GV15+GV26</f>
        <v>0</v>
      </c>
      <c r="GW27" s="229">
        <f t="shared" si="28"/>
        <v>3700000</v>
      </c>
      <c r="GX27" s="229">
        <f t="shared" si="28"/>
        <v>4080570</v>
      </c>
      <c r="GY27" s="229">
        <f t="shared" si="28"/>
        <v>3880358</v>
      </c>
      <c r="GZ27" s="229">
        <f t="shared" si="28"/>
        <v>2740000</v>
      </c>
      <c r="HA27" s="229">
        <f t="shared" si="28"/>
        <v>2740000</v>
      </c>
      <c r="HB27" s="229">
        <f t="shared" si="28"/>
        <v>1497659</v>
      </c>
      <c r="HC27" s="229">
        <f t="shared" si="28"/>
        <v>7270500</v>
      </c>
      <c r="HD27" s="229">
        <f t="shared" si="28"/>
        <v>7358049</v>
      </c>
      <c r="HE27" s="229">
        <f t="shared" si="28"/>
        <v>5497163</v>
      </c>
      <c r="HF27" s="229">
        <f t="shared" si="28"/>
        <v>2000000</v>
      </c>
      <c r="HG27" s="229">
        <f t="shared" si="28"/>
        <v>2000000</v>
      </c>
      <c r="HH27" s="229">
        <f t="shared" si="28"/>
        <v>1500000</v>
      </c>
      <c r="HI27" s="229">
        <f t="shared" si="28"/>
        <v>8255800</v>
      </c>
      <c r="HJ27" s="229">
        <f t="shared" si="28"/>
        <v>8255800</v>
      </c>
      <c r="HK27" s="229">
        <f t="shared" si="28"/>
        <v>6226550</v>
      </c>
      <c r="HL27" s="229">
        <f t="shared" si="28"/>
        <v>2017360</v>
      </c>
      <c r="HM27" s="229">
        <f t="shared" si="28"/>
        <v>2017360</v>
      </c>
      <c r="HN27" s="229">
        <f t="shared" si="28"/>
        <v>1373557</v>
      </c>
      <c r="HO27" s="229">
        <f t="shared" si="28"/>
        <v>5000000</v>
      </c>
      <c r="HP27" s="229">
        <f t="shared" si="28"/>
        <v>5000000</v>
      </c>
      <c r="HQ27" s="229">
        <f t="shared" si="28"/>
        <v>2071000</v>
      </c>
      <c r="HR27" s="229">
        <f t="shared" si="28"/>
        <v>0</v>
      </c>
      <c r="HS27" s="229">
        <f t="shared" si="28"/>
        <v>0</v>
      </c>
      <c r="HT27" s="229">
        <f t="shared" si="28"/>
        <v>0</v>
      </c>
      <c r="HU27" s="229">
        <f t="shared" si="28"/>
        <v>0</v>
      </c>
      <c r="HV27" s="229">
        <f t="shared" si="28"/>
        <v>0</v>
      </c>
      <c r="HW27" s="229">
        <f t="shared" si="28"/>
        <v>0</v>
      </c>
      <c r="HX27" s="229">
        <f t="shared" si="28"/>
        <v>0</v>
      </c>
      <c r="HY27" s="229">
        <f t="shared" si="28"/>
        <v>0</v>
      </c>
      <c r="HZ27" s="229">
        <f t="shared" si="28"/>
        <v>0</v>
      </c>
      <c r="IA27" s="229">
        <f t="shared" ref="IA27:KL27" si="29">+IA8+IA9+IA10+IA11+IA13+IA14+IA22+IA23+IA15+IA26</f>
        <v>0</v>
      </c>
      <c r="IB27" s="229">
        <f t="shared" si="29"/>
        <v>0</v>
      </c>
      <c r="IC27" s="229">
        <f t="shared" si="29"/>
        <v>0</v>
      </c>
      <c r="ID27" s="229">
        <f t="shared" si="29"/>
        <v>0</v>
      </c>
      <c r="IE27" s="229">
        <f t="shared" si="29"/>
        <v>0</v>
      </c>
      <c r="IF27" s="229">
        <f t="shared" si="29"/>
        <v>0</v>
      </c>
      <c r="IG27" s="229">
        <f t="shared" si="29"/>
        <v>897149962</v>
      </c>
      <c r="IH27" s="229">
        <f t="shared" si="29"/>
        <v>1872854738</v>
      </c>
      <c r="II27" s="229">
        <f t="shared" si="29"/>
        <v>3513510223</v>
      </c>
      <c r="IJ27" s="229">
        <f t="shared" si="29"/>
        <v>3686246941</v>
      </c>
      <c r="IK27" s="229">
        <f t="shared" si="29"/>
        <v>3124258948</v>
      </c>
      <c r="IL27" s="229">
        <f t="shared" si="29"/>
        <v>0</v>
      </c>
      <c r="IM27" s="229">
        <f t="shared" si="29"/>
        <v>0</v>
      </c>
      <c r="IN27" s="229">
        <f t="shared" si="29"/>
        <v>0</v>
      </c>
      <c r="IO27" s="229">
        <f t="shared" si="29"/>
        <v>3000000</v>
      </c>
      <c r="IP27" s="229">
        <f t="shared" si="29"/>
        <v>12283876</v>
      </c>
      <c r="IQ27" s="229">
        <f t="shared" si="29"/>
        <v>12135691</v>
      </c>
      <c r="IR27" s="229">
        <f t="shared" si="29"/>
        <v>0</v>
      </c>
      <c r="IS27" s="229">
        <f t="shared" si="29"/>
        <v>0</v>
      </c>
      <c r="IT27" s="229">
        <f t="shared" si="29"/>
        <v>0</v>
      </c>
      <c r="IU27" s="229">
        <f t="shared" si="29"/>
        <v>842991977</v>
      </c>
      <c r="IV27" s="229">
        <f t="shared" si="29"/>
        <v>914397335</v>
      </c>
      <c r="IW27" s="229">
        <f t="shared" si="29"/>
        <v>914397335</v>
      </c>
      <c r="IX27" s="229">
        <f t="shared" si="29"/>
        <v>0</v>
      </c>
      <c r="IY27" s="229">
        <f t="shared" si="29"/>
        <v>0</v>
      </c>
      <c r="IZ27" s="229">
        <f t="shared" si="29"/>
        <v>0</v>
      </c>
      <c r="JA27" s="229">
        <f t="shared" si="29"/>
        <v>0</v>
      </c>
      <c r="JB27" s="229">
        <f t="shared" si="29"/>
        <v>0</v>
      </c>
      <c r="JC27" s="229">
        <f t="shared" si="29"/>
        <v>0</v>
      </c>
      <c r="JD27" s="229">
        <f t="shared" si="29"/>
        <v>0</v>
      </c>
      <c r="JE27" s="229">
        <f t="shared" si="29"/>
        <v>0</v>
      </c>
      <c r="JF27" s="229">
        <f t="shared" si="29"/>
        <v>0</v>
      </c>
      <c r="JG27" s="229">
        <f t="shared" si="29"/>
        <v>0</v>
      </c>
      <c r="JH27" s="229">
        <f t="shared" si="29"/>
        <v>80000</v>
      </c>
      <c r="JI27" s="229">
        <f t="shared" si="29"/>
        <v>80000</v>
      </c>
      <c r="JJ27" s="229">
        <f t="shared" si="29"/>
        <v>0</v>
      </c>
      <c r="JK27" s="229">
        <f t="shared" si="29"/>
        <v>0</v>
      </c>
      <c r="JL27" s="229">
        <f t="shared" si="29"/>
        <v>0</v>
      </c>
      <c r="JM27" s="229">
        <f t="shared" si="29"/>
        <v>0</v>
      </c>
      <c r="JN27" s="229">
        <f t="shared" si="29"/>
        <v>15000</v>
      </c>
      <c r="JO27" s="229">
        <f t="shared" si="29"/>
        <v>15000</v>
      </c>
      <c r="JP27" s="229">
        <f t="shared" si="29"/>
        <v>7000000</v>
      </c>
      <c r="JQ27" s="229">
        <f t="shared" si="29"/>
        <v>7000000</v>
      </c>
      <c r="JR27" s="229">
        <f t="shared" si="29"/>
        <v>2446101</v>
      </c>
      <c r="JS27" s="229">
        <f t="shared" si="29"/>
        <v>898020658</v>
      </c>
      <c r="JT27" s="229">
        <f t="shared" si="29"/>
        <v>898020658</v>
      </c>
      <c r="JU27" s="229">
        <f t="shared" si="29"/>
        <v>898020658</v>
      </c>
      <c r="JV27" s="229">
        <f t="shared" si="29"/>
        <v>5000000</v>
      </c>
      <c r="JW27" s="229">
        <f t="shared" si="29"/>
        <v>5000000</v>
      </c>
      <c r="JX27" s="229">
        <f t="shared" si="29"/>
        <v>347321</v>
      </c>
      <c r="JY27" s="229">
        <f t="shared" si="29"/>
        <v>14342440</v>
      </c>
      <c r="JZ27" s="229">
        <f t="shared" si="29"/>
        <v>135109829</v>
      </c>
      <c r="KA27" s="229">
        <f t="shared" si="29"/>
        <v>3810000</v>
      </c>
      <c r="KB27" s="229">
        <f t="shared" si="29"/>
        <v>0</v>
      </c>
      <c r="KC27" s="229">
        <f t="shared" si="29"/>
        <v>1529309</v>
      </c>
      <c r="KD27" s="229">
        <f t="shared" si="29"/>
        <v>1393199</v>
      </c>
      <c r="KE27" s="229">
        <f t="shared" si="29"/>
        <v>0</v>
      </c>
      <c r="KF27" s="229">
        <f t="shared" si="29"/>
        <v>0</v>
      </c>
      <c r="KG27" s="229">
        <f t="shared" si="29"/>
        <v>0</v>
      </c>
      <c r="KH27" s="229">
        <f t="shared" si="29"/>
        <v>0</v>
      </c>
      <c r="KI27" s="229">
        <f t="shared" si="29"/>
        <v>0</v>
      </c>
      <c r="KJ27" s="229">
        <f t="shared" si="29"/>
        <v>0</v>
      </c>
      <c r="KK27" s="229">
        <f t="shared" si="29"/>
        <v>0</v>
      </c>
      <c r="KL27" s="229">
        <f t="shared" si="29"/>
        <v>0</v>
      </c>
      <c r="KM27" s="229">
        <f t="shared" ref="KM27:MX27" si="30">+KM8+KM9+KM10+KM11+KM13+KM14+KM22+KM23+KM15+KM26</f>
        <v>0</v>
      </c>
      <c r="KN27" s="229">
        <f t="shared" si="30"/>
        <v>0</v>
      </c>
      <c r="KO27" s="229">
        <f t="shared" si="30"/>
        <v>104744111</v>
      </c>
      <c r="KP27" s="229">
        <f t="shared" si="30"/>
        <v>81726579</v>
      </c>
      <c r="KQ27" s="229">
        <f t="shared" si="30"/>
        <v>0</v>
      </c>
      <c r="KR27" s="229">
        <f t="shared" si="30"/>
        <v>2945617</v>
      </c>
      <c r="KS27" s="229">
        <f t="shared" si="30"/>
        <v>2613022</v>
      </c>
      <c r="KT27" s="229">
        <f t="shared" si="30"/>
        <v>1811551</v>
      </c>
      <c r="KU27" s="229">
        <f t="shared" si="30"/>
        <v>0</v>
      </c>
      <c r="KV27" s="229">
        <f t="shared" si="30"/>
        <v>0</v>
      </c>
      <c r="KW27" s="229">
        <f t="shared" si="30"/>
        <v>0</v>
      </c>
      <c r="KX27" s="229">
        <f t="shared" si="30"/>
        <v>0</v>
      </c>
      <c r="KY27" s="229">
        <f t="shared" si="30"/>
        <v>0</v>
      </c>
      <c r="KZ27" s="229">
        <f t="shared" si="30"/>
        <v>330331</v>
      </c>
      <c r="LA27" s="229">
        <f t="shared" si="30"/>
        <v>330331</v>
      </c>
      <c r="LB27" s="229">
        <f t="shared" si="30"/>
        <v>330331</v>
      </c>
      <c r="LC27" s="229">
        <f t="shared" si="30"/>
        <v>0</v>
      </c>
      <c r="LD27" s="229">
        <f t="shared" si="30"/>
        <v>0</v>
      </c>
      <c r="LE27" s="229">
        <f t="shared" si="30"/>
        <v>0</v>
      </c>
      <c r="LF27" s="229">
        <f t="shared" si="30"/>
        <v>0</v>
      </c>
      <c r="LG27" s="229">
        <f t="shared" si="30"/>
        <v>8146942</v>
      </c>
      <c r="LH27" s="229">
        <f t="shared" si="30"/>
        <v>7985044</v>
      </c>
      <c r="LI27" s="229">
        <f t="shared" si="30"/>
        <v>0</v>
      </c>
      <c r="LJ27" s="229">
        <f t="shared" si="30"/>
        <v>0</v>
      </c>
      <c r="LK27" s="229">
        <f t="shared" si="30"/>
        <v>0</v>
      </c>
      <c r="LL27" s="229">
        <f t="shared" si="30"/>
        <v>0</v>
      </c>
      <c r="LM27" s="229">
        <f t="shared" si="30"/>
        <v>0</v>
      </c>
      <c r="LN27" s="229">
        <f t="shared" si="30"/>
        <v>0</v>
      </c>
      <c r="LO27" s="229">
        <f t="shared" si="30"/>
        <v>0</v>
      </c>
      <c r="LP27" s="229">
        <f t="shared" si="30"/>
        <v>0</v>
      </c>
      <c r="LQ27" s="229">
        <f t="shared" si="30"/>
        <v>0</v>
      </c>
      <c r="LR27" s="229">
        <f t="shared" si="30"/>
        <v>0</v>
      </c>
      <c r="LS27" s="229">
        <f t="shared" si="30"/>
        <v>4000000</v>
      </c>
      <c r="LT27" s="229">
        <f t="shared" si="30"/>
        <v>800000</v>
      </c>
      <c r="LU27" s="229">
        <f t="shared" si="30"/>
        <v>0</v>
      </c>
      <c r="LV27" s="229">
        <f t="shared" si="30"/>
        <v>0</v>
      </c>
      <c r="LW27" s="229">
        <f t="shared" si="30"/>
        <v>0</v>
      </c>
      <c r="LX27" s="229">
        <f t="shared" si="30"/>
        <v>0</v>
      </c>
      <c r="LY27" s="229">
        <f t="shared" si="30"/>
        <v>0</v>
      </c>
      <c r="LZ27" s="229">
        <f t="shared" si="30"/>
        <v>0</v>
      </c>
      <c r="MA27" s="229">
        <f t="shared" si="30"/>
        <v>0</v>
      </c>
      <c r="MB27" s="229">
        <f t="shared" si="30"/>
        <v>355600</v>
      </c>
      <c r="MC27" s="229">
        <f t="shared" si="30"/>
        <v>355600</v>
      </c>
      <c r="MD27" s="229">
        <f t="shared" si="30"/>
        <v>0</v>
      </c>
      <c r="ME27" s="229">
        <f t="shared" si="30"/>
        <v>234000</v>
      </c>
      <c r="MF27" s="229">
        <f t="shared" si="30"/>
        <v>234000</v>
      </c>
      <c r="MG27" s="229">
        <f t="shared" si="30"/>
        <v>0</v>
      </c>
      <c r="MH27" s="229">
        <f t="shared" si="30"/>
        <v>0</v>
      </c>
      <c r="MI27" s="229">
        <f t="shared" si="30"/>
        <v>0</v>
      </c>
      <c r="MJ27" s="229">
        <f t="shared" si="30"/>
        <v>0</v>
      </c>
      <c r="MK27" s="229">
        <f t="shared" si="30"/>
        <v>571500</v>
      </c>
      <c r="ML27" s="229">
        <f t="shared" si="30"/>
        <v>571500</v>
      </c>
      <c r="MM27" s="229">
        <f t="shared" si="30"/>
        <v>0</v>
      </c>
      <c r="MN27" s="229">
        <f t="shared" si="30"/>
        <v>0</v>
      </c>
      <c r="MO27" s="229">
        <f t="shared" si="30"/>
        <v>0</v>
      </c>
      <c r="MP27" s="229">
        <f t="shared" si="30"/>
        <v>0</v>
      </c>
      <c r="MQ27" s="229">
        <f t="shared" si="30"/>
        <v>500000</v>
      </c>
      <c r="MR27" s="229">
        <f t="shared" si="30"/>
        <v>500000</v>
      </c>
      <c r="MS27" s="229">
        <f t="shared" si="30"/>
        <v>0</v>
      </c>
      <c r="MT27" s="229">
        <f t="shared" si="30"/>
        <v>1181000</v>
      </c>
      <c r="MU27" s="229">
        <f t="shared" si="30"/>
        <v>1181000</v>
      </c>
      <c r="MV27" s="229">
        <f t="shared" si="30"/>
        <v>0</v>
      </c>
      <c r="MW27" s="229">
        <f t="shared" si="30"/>
        <v>0</v>
      </c>
      <c r="MX27" s="229">
        <f t="shared" si="30"/>
        <v>0</v>
      </c>
      <c r="MY27" s="663">
        <f>+E27+H27+K27+Q27++T27+W27+Z27+AC27+AF27+AO27+AR27+AU27+AX27+BA27+BD27+BG27+BJ27+BM27+BV27+BY27+CB27+CE27+CH27+CK27+CN27+CQ27+CT27+DC27+DF27+DI27+DL27+DR27+EA27+ED27+EG27+EJ27+EM27+EP27+ES27+EV27+FN27+FT27+GC27+GF27+GI27+GO27+GR27+HJ27+HM27+HP27+IM27+IJ27+IV27+IY27+JE27+JH27+JK27+JN27+JT27+JZ27+KC27+LA27+LD27+LG27+LJ27+LM27+LP27+LS27+LV27+ME27+MH27+MQ27+MT27+GL27+GU27+KU27+JW27+IH27</f>
        <v>9085354658</v>
      </c>
      <c r="MZ27" s="663">
        <f>+F27+I27+L27+R27++U27+X27+AA27+AD27+AG27+AP27+AS27+AV27+AY27+BB27+BE27+BH27+BK27+BN27+BW27+BZ27+CC27+CF27+CI27+CL27+CO27+CR27+CU27+DD27+DG27+DJ27+DM27+DS27+EB27+EE27+EH27+EK27+EN27+EQ27+ET27+EW27+FO27+FU27+GD27+GG27+GJ27+GP27+GS27+HK27+HN27+HQ27+IN27+IK27+IW27+IZ27+JF27+JI27+JL27+JO27+JU27+KA27+KD27+LB27+LE27+LH27+LK27+LN27+LQ27+LT27+LW27+MF27+MI27+MR27+MU27+GM27+GV27+KV27+JX27</f>
        <v>6287509505</v>
      </c>
      <c r="NA27" s="663">
        <f>+N27+AI27+AL27+BP27+BS27+CW27+CZ27+DO27+DU27+DX27+EY27+FB27+FE27+FH27+FK27+FZ27+GX27+HA27+HD27+HG27+HS27+HV27+HY27+IB27+IE27+IP27+IS27+JB27+JQ27+KF27+KI27+KL27+KO27+KR27+KX27+LY27+MB27+MK27+MN27+FQ27+FW27</f>
        <v>428537590</v>
      </c>
      <c r="NB27" s="663">
        <f t="shared" si="3"/>
        <v>349924975</v>
      </c>
      <c r="NC27" s="663"/>
    </row>
    <row r="28" spans="1:369" s="215" customFormat="1" ht="21.75" customHeight="1" x14ac:dyDescent="0.25">
      <c r="A28" s="208" t="s">
        <v>261</v>
      </c>
      <c r="B28" s="224" t="s">
        <v>33</v>
      </c>
      <c r="C28" s="210"/>
      <c r="D28" s="229">
        <f>+D16+D17+D18+D24+D25</f>
        <v>270974377</v>
      </c>
      <c r="E28" s="229">
        <f t="shared" ref="E28:CV28" si="31">+E16+E17+E18+E24+E25</f>
        <v>255058296</v>
      </c>
      <c r="F28" s="229">
        <f t="shared" si="31"/>
        <v>254120377</v>
      </c>
      <c r="G28" s="229">
        <f t="shared" si="31"/>
        <v>87152400</v>
      </c>
      <c r="H28" s="229">
        <f t="shared" si="31"/>
        <v>62761708</v>
      </c>
      <c r="I28" s="229">
        <f t="shared" si="31"/>
        <v>62693602</v>
      </c>
      <c r="J28" s="229">
        <f t="shared" si="31"/>
        <v>4820771</v>
      </c>
      <c r="K28" s="229">
        <f t="shared" si="31"/>
        <v>4820771</v>
      </c>
      <c r="L28" s="229">
        <f t="shared" si="31"/>
        <v>4820771</v>
      </c>
      <c r="M28" s="229">
        <f t="shared" si="31"/>
        <v>0</v>
      </c>
      <c r="N28" s="229">
        <f t="shared" si="31"/>
        <v>2351024</v>
      </c>
      <c r="O28" s="229">
        <f t="shared" si="31"/>
        <v>2351024</v>
      </c>
      <c r="P28" s="229">
        <f t="shared" si="31"/>
        <v>30660400</v>
      </c>
      <c r="Q28" s="229">
        <f t="shared" si="31"/>
        <v>20389850</v>
      </c>
      <c r="R28" s="229">
        <f t="shared" si="31"/>
        <v>4864100</v>
      </c>
      <c r="S28" s="229">
        <f t="shared" si="31"/>
        <v>254000</v>
      </c>
      <c r="T28" s="229">
        <f t="shared" si="31"/>
        <v>0</v>
      </c>
      <c r="U28" s="229">
        <f t="shared" si="31"/>
        <v>0</v>
      </c>
      <c r="V28" s="229">
        <f t="shared" si="31"/>
        <v>67707653</v>
      </c>
      <c r="W28" s="229">
        <f t="shared" si="31"/>
        <v>113920196</v>
      </c>
      <c r="X28" s="229">
        <f t="shared" si="31"/>
        <v>37937822</v>
      </c>
      <c r="Y28" s="229">
        <f t="shared" si="31"/>
        <v>13073150</v>
      </c>
      <c r="Z28" s="229">
        <f t="shared" si="31"/>
        <v>43935387</v>
      </c>
      <c r="AA28" s="229">
        <f t="shared" si="31"/>
        <v>43935387</v>
      </c>
      <c r="AB28" s="229">
        <f t="shared" si="31"/>
        <v>0</v>
      </c>
      <c r="AC28" s="229">
        <f t="shared" si="31"/>
        <v>0</v>
      </c>
      <c r="AD28" s="229">
        <f t="shared" si="31"/>
        <v>0</v>
      </c>
      <c r="AE28" s="229">
        <f t="shared" si="31"/>
        <v>0</v>
      </c>
      <c r="AF28" s="229">
        <f t="shared" si="31"/>
        <v>0</v>
      </c>
      <c r="AG28" s="229">
        <f t="shared" si="31"/>
        <v>0</v>
      </c>
      <c r="AH28" s="229">
        <f t="shared" si="31"/>
        <v>2000000</v>
      </c>
      <c r="AI28" s="229">
        <f t="shared" si="31"/>
        <v>3690750</v>
      </c>
      <c r="AJ28" s="229">
        <f t="shared" si="31"/>
        <v>3500000</v>
      </c>
      <c r="AK28" s="229">
        <f t="shared" si="31"/>
        <v>0</v>
      </c>
      <c r="AL28" s="229">
        <f t="shared" si="31"/>
        <v>0</v>
      </c>
      <c r="AM28" s="229">
        <f t="shared" si="31"/>
        <v>0</v>
      </c>
      <c r="AN28" s="229">
        <f t="shared" si="31"/>
        <v>0</v>
      </c>
      <c r="AO28" s="229">
        <f t="shared" si="31"/>
        <v>0</v>
      </c>
      <c r="AP28" s="229">
        <f t="shared" si="31"/>
        <v>0</v>
      </c>
      <c r="AQ28" s="229">
        <f t="shared" si="31"/>
        <v>0</v>
      </c>
      <c r="AR28" s="229">
        <f t="shared" si="31"/>
        <v>0</v>
      </c>
      <c r="AS28" s="229">
        <f t="shared" si="31"/>
        <v>0</v>
      </c>
      <c r="AT28" s="229">
        <f t="shared" si="31"/>
        <v>6698581</v>
      </c>
      <c r="AU28" s="229">
        <f t="shared" si="31"/>
        <v>15778109</v>
      </c>
      <c r="AV28" s="229">
        <f t="shared" si="31"/>
        <v>698581</v>
      </c>
      <c r="AW28" s="229">
        <f t="shared" si="31"/>
        <v>0</v>
      </c>
      <c r="AX28" s="229">
        <f t="shared" si="31"/>
        <v>0</v>
      </c>
      <c r="AY28" s="229">
        <f t="shared" si="31"/>
        <v>0</v>
      </c>
      <c r="AZ28" s="229">
        <f t="shared" si="31"/>
        <v>889000</v>
      </c>
      <c r="BA28" s="229">
        <f t="shared" si="31"/>
        <v>889000</v>
      </c>
      <c r="BB28" s="229">
        <f t="shared" si="31"/>
        <v>385990</v>
      </c>
      <c r="BC28" s="229">
        <f t="shared" si="31"/>
        <v>127000</v>
      </c>
      <c r="BD28" s="229">
        <f t="shared" si="31"/>
        <v>127000</v>
      </c>
      <c r="BE28" s="229">
        <f t="shared" si="31"/>
        <v>0</v>
      </c>
      <c r="BF28" s="229">
        <f t="shared" si="31"/>
        <v>0</v>
      </c>
      <c r="BG28" s="229">
        <f t="shared" si="31"/>
        <v>0</v>
      </c>
      <c r="BH28" s="229">
        <f t="shared" si="31"/>
        <v>0</v>
      </c>
      <c r="BI28" s="229">
        <f t="shared" si="31"/>
        <v>0</v>
      </c>
      <c r="BJ28" s="229">
        <f t="shared" si="31"/>
        <v>0</v>
      </c>
      <c r="BK28" s="229">
        <f t="shared" si="31"/>
        <v>0</v>
      </c>
      <c r="BL28" s="229">
        <f t="shared" si="31"/>
        <v>0</v>
      </c>
      <c r="BM28" s="229">
        <f t="shared" si="31"/>
        <v>0</v>
      </c>
      <c r="BN28" s="229">
        <f t="shared" si="31"/>
        <v>0</v>
      </c>
      <c r="BO28" s="229">
        <f t="shared" si="31"/>
        <v>0</v>
      </c>
      <c r="BP28" s="229">
        <f t="shared" si="31"/>
        <v>0</v>
      </c>
      <c r="BQ28" s="229">
        <f t="shared" si="31"/>
        <v>0</v>
      </c>
      <c r="BR28" s="229">
        <f t="shared" si="31"/>
        <v>0</v>
      </c>
      <c r="BS28" s="229">
        <f t="shared" si="31"/>
        <v>0</v>
      </c>
      <c r="BT28" s="229">
        <f t="shared" si="31"/>
        <v>0</v>
      </c>
      <c r="BU28" s="229">
        <f t="shared" si="31"/>
        <v>0</v>
      </c>
      <c r="BV28" s="229">
        <f t="shared" si="31"/>
        <v>0</v>
      </c>
      <c r="BW28" s="229">
        <f t="shared" si="31"/>
        <v>0</v>
      </c>
      <c r="BX28" s="229">
        <f t="shared" si="31"/>
        <v>0</v>
      </c>
      <c r="BY28" s="229">
        <f t="shared" si="31"/>
        <v>0</v>
      </c>
      <c r="BZ28" s="229">
        <f t="shared" si="31"/>
        <v>0</v>
      </c>
      <c r="CA28" s="229">
        <f t="shared" si="31"/>
        <v>0</v>
      </c>
      <c r="CB28" s="229">
        <f t="shared" si="31"/>
        <v>1617604</v>
      </c>
      <c r="CC28" s="229">
        <f t="shared" si="31"/>
        <v>1617604</v>
      </c>
      <c r="CD28" s="229">
        <f t="shared" si="31"/>
        <v>0</v>
      </c>
      <c r="CE28" s="229">
        <f t="shared" si="31"/>
        <v>0</v>
      </c>
      <c r="CF28" s="229">
        <f t="shared" si="31"/>
        <v>0</v>
      </c>
      <c r="CG28" s="229">
        <f t="shared" si="31"/>
        <v>0</v>
      </c>
      <c r="CH28" s="229">
        <f t="shared" si="31"/>
        <v>0</v>
      </c>
      <c r="CI28" s="229">
        <f t="shared" si="31"/>
        <v>0</v>
      </c>
      <c r="CJ28" s="229">
        <f t="shared" si="31"/>
        <v>3000000</v>
      </c>
      <c r="CK28" s="229">
        <f t="shared" si="31"/>
        <v>1989933</v>
      </c>
      <c r="CL28" s="229">
        <f t="shared" si="31"/>
        <v>1826260</v>
      </c>
      <c r="CM28" s="229">
        <f t="shared" si="31"/>
        <v>0</v>
      </c>
      <c r="CN28" s="229">
        <f t="shared" si="31"/>
        <v>0</v>
      </c>
      <c r="CO28" s="229">
        <f t="shared" si="31"/>
        <v>0</v>
      </c>
      <c r="CP28" s="229">
        <f t="shared" si="31"/>
        <v>0</v>
      </c>
      <c r="CQ28" s="229">
        <f t="shared" si="31"/>
        <v>0</v>
      </c>
      <c r="CR28" s="229">
        <f t="shared" si="31"/>
        <v>0</v>
      </c>
      <c r="CS28" s="229">
        <f t="shared" si="31"/>
        <v>0</v>
      </c>
      <c r="CT28" s="229">
        <f t="shared" si="31"/>
        <v>270000</v>
      </c>
      <c r="CU28" s="229">
        <f t="shared" si="31"/>
        <v>270000</v>
      </c>
      <c r="CV28" s="229">
        <f t="shared" si="31"/>
        <v>0</v>
      </c>
      <c r="CW28" s="229">
        <f t="shared" ref="CW28:FH28" si="32">+CW16+CW17+CW18+CW24+CW25</f>
        <v>0</v>
      </c>
      <c r="CX28" s="229">
        <f t="shared" si="32"/>
        <v>0</v>
      </c>
      <c r="CY28" s="229">
        <f t="shared" si="32"/>
        <v>0</v>
      </c>
      <c r="CZ28" s="229">
        <f t="shared" si="32"/>
        <v>0</v>
      </c>
      <c r="DA28" s="229">
        <f t="shared" si="32"/>
        <v>0</v>
      </c>
      <c r="DB28" s="229">
        <f t="shared" si="32"/>
        <v>15000000</v>
      </c>
      <c r="DC28" s="229">
        <f t="shared" si="32"/>
        <v>18607596</v>
      </c>
      <c r="DD28" s="229">
        <f t="shared" si="32"/>
        <v>18607596</v>
      </c>
      <c r="DE28" s="229">
        <f t="shared" si="32"/>
        <v>1409700</v>
      </c>
      <c r="DF28" s="229">
        <f t="shared" si="32"/>
        <v>1409700</v>
      </c>
      <c r="DG28" s="229">
        <f t="shared" si="32"/>
        <v>0</v>
      </c>
      <c r="DH28" s="229">
        <f t="shared" si="32"/>
        <v>254000</v>
      </c>
      <c r="DI28" s="229">
        <f t="shared" si="32"/>
        <v>254000</v>
      </c>
      <c r="DJ28" s="229">
        <f t="shared" si="32"/>
        <v>0</v>
      </c>
      <c r="DK28" s="229">
        <f t="shared" si="32"/>
        <v>0</v>
      </c>
      <c r="DL28" s="229">
        <f t="shared" si="32"/>
        <v>0</v>
      </c>
      <c r="DM28" s="229">
        <f t="shared" si="32"/>
        <v>0</v>
      </c>
      <c r="DN28" s="229">
        <f t="shared" si="32"/>
        <v>0</v>
      </c>
      <c r="DO28" s="229">
        <f t="shared" si="32"/>
        <v>0</v>
      </c>
      <c r="DP28" s="229">
        <f t="shared" si="32"/>
        <v>0</v>
      </c>
      <c r="DQ28" s="229">
        <f t="shared" si="32"/>
        <v>15444500</v>
      </c>
      <c r="DR28" s="229">
        <f t="shared" si="32"/>
        <v>18133000</v>
      </c>
      <c r="DS28" s="229">
        <f t="shared" si="32"/>
        <v>9908450</v>
      </c>
      <c r="DT28" s="229">
        <f t="shared" si="32"/>
        <v>0</v>
      </c>
      <c r="DU28" s="229">
        <f t="shared" si="32"/>
        <v>0</v>
      </c>
      <c r="DV28" s="229">
        <f t="shared" si="32"/>
        <v>0</v>
      </c>
      <c r="DW28" s="229">
        <f t="shared" si="32"/>
        <v>0</v>
      </c>
      <c r="DX28" s="229">
        <f t="shared" si="32"/>
        <v>0</v>
      </c>
      <c r="DY28" s="229">
        <f t="shared" si="32"/>
        <v>0</v>
      </c>
      <c r="DZ28" s="229">
        <f t="shared" si="32"/>
        <v>0</v>
      </c>
      <c r="EA28" s="229">
        <f t="shared" si="32"/>
        <v>0</v>
      </c>
      <c r="EB28" s="229">
        <f t="shared" si="32"/>
        <v>0</v>
      </c>
      <c r="EC28" s="229">
        <f t="shared" si="32"/>
        <v>6000000</v>
      </c>
      <c r="ED28" s="229">
        <f t="shared" si="32"/>
        <v>5755070</v>
      </c>
      <c r="EE28" s="229">
        <f t="shared" si="32"/>
        <v>2342418</v>
      </c>
      <c r="EF28" s="229">
        <f t="shared" si="32"/>
        <v>0</v>
      </c>
      <c r="EG28" s="229">
        <f t="shared" si="32"/>
        <v>54990</v>
      </c>
      <c r="EH28" s="229">
        <f t="shared" si="32"/>
        <v>54990</v>
      </c>
      <c r="EI28" s="229">
        <f t="shared" si="32"/>
        <v>0</v>
      </c>
      <c r="EJ28" s="229">
        <f t="shared" si="32"/>
        <v>0</v>
      </c>
      <c r="EK28" s="229">
        <f t="shared" si="32"/>
        <v>0</v>
      </c>
      <c r="EL28" s="229">
        <f t="shared" si="32"/>
        <v>0</v>
      </c>
      <c r="EM28" s="229">
        <f t="shared" si="32"/>
        <v>0</v>
      </c>
      <c r="EN28" s="229">
        <f t="shared" si="32"/>
        <v>0</v>
      </c>
      <c r="EO28" s="229">
        <f t="shared" si="32"/>
        <v>1635000</v>
      </c>
      <c r="EP28" s="229">
        <f t="shared" si="32"/>
        <v>2073870</v>
      </c>
      <c r="EQ28" s="229">
        <f t="shared" si="32"/>
        <v>1073870</v>
      </c>
      <c r="ER28" s="229">
        <f t="shared" si="32"/>
        <v>17589500</v>
      </c>
      <c r="ES28" s="229">
        <f t="shared" si="32"/>
        <v>49283202</v>
      </c>
      <c r="ET28" s="229">
        <f t="shared" si="32"/>
        <v>46416337</v>
      </c>
      <c r="EU28" s="229">
        <f t="shared" si="32"/>
        <v>0</v>
      </c>
      <c r="EV28" s="229">
        <f t="shared" si="32"/>
        <v>244930</v>
      </c>
      <c r="EW28" s="229">
        <f t="shared" si="32"/>
        <v>244930</v>
      </c>
      <c r="EX28" s="229">
        <f t="shared" si="32"/>
        <v>0</v>
      </c>
      <c r="EY28" s="229">
        <f t="shared" si="32"/>
        <v>0</v>
      </c>
      <c r="EZ28" s="229">
        <f t="shared" si="32"/>
        <v>0</v>
      </c>
      <c r="FA28" s="229">
        <f t="shared" si="32"/>
        <v>0</v>
      </c>
      <c r="FB28" s="229">
        <f t="shared" si="32"/>
        <v>0</v>
      </c>
      <c r="FC28" s="229">
        <f t="shared" si="32"/>
        <v>0</v>
      </c>
      <c r="FD28" s="229">
        <f t="shared" si="32"/>
        <v>0</v>
      </c>
      <c r="FE28" s="229">
        <f t="shared" si="32"/>
        <v>0</v>
      </c>
      <c r="FF28" s="229">
        <f t="shared" si="32"/>
        <v>0</v>
      </c>
      <c r="FG28" s="229">
        <f t="shared" si="32"/>
        <v>4583303</v>
      </c>
      <c r="FH28" s="229">
        <f t="shared" si="32"/>
        <v>42870811</v>
      </c>
      <c r="FI28" s="229">
        <f t="shared" ref="FI28:HZ28" si="33">+FI16+FI17+FI18+FI24+FI25</f>
        <v>14235811</v>
      </c>
      <c r="FJ28" s="229">
        <f t="shared" si="33"/>
        <v>0</v>
      </c>
      <c r="FK28" s="229">
        <f t="shared" si="33"/>
        <v>0</v>
      </c>
      <c r="FL28" s="229">
        <f t="shared" si="33"/>
        <v>0</v>
      </c>
      <c r="FM28" s="229">
        <f t="shared" si="33"/>
        <v>0</v>
      </c>
      <c r="FN28" s="229">
        <f t="shared" si="33"/>
        <v>0</v>
      </c>
      <c r="FO28" s="229">
        <f t="shared" si="33"/>
        <v>0</v>
      </c>
      <c r="FP28" s="229">
        <f t="shared" si="33"/>
        <v>0</v>
      </c>
      <c r="FQ28" s="229">
        <f t="shared" si="33"/>
        <v>0</v>
      </c>
      <c r="FR28" s="229">
        <f t="shared" si="33"/>
        <v>0</v>
      </c>
      <c r="FS28" s="229">
        <f t="shared" si="33"/>
        <v>0</v>
      </c>
      <c r="FT28" s="229">
        <f t="shared" si="33"/>
        <v>0</v>
      </c>
      <c r="FU28" s="229">
        <f t="shared" si="33"/>
        <v>0</v>
      </c>
      <c r="FV28" s="229">
        <f t="shared" si="33"/>
        <v>0</v>
      </c>
      <c r="FW28" s="229">
        <f t="shared" si="33"/>
        <v>2014220</v>
      </c>
      <c r="FX28" s="229">
        <f t="shared" si="33"/>
        <v>2014220</v>
      </c>
      <c r="FY28" s="229">
        <f t="shared" si="33"/>
        <v>1200000</v>
      </c>
      <c r="FZ28" s="229">
        <f t="shared" si="33"/>
        <v>1200000</v>
      </c>
      <c r="GA28" s="229">
        <f t="shared" si="33"/>
        <v>0</v>
      </c>
      <c r="GB28" s="229">
        <f t="shared" si="33"/>
        <v>0</v>
      </c>
      <c r="GC28" s="229">
        <f t="shared" si="33"/>
        <v>0</v>
      </c>
      <c r="GD28" s="229">
        <f t="shared" si="33"/>
        <v>0</v>
      </c>
      <c r="GE28" s="229">
        <f t="shared" si="33"/>
        <v>0</v>
      </c>
      <c r="GF28" s="229">
        <f t="shared" si="33"/>
        <v>48600145</v>
      </c>
      <c r="GG28" s="229">
        <f t="shared" si="33"/>
        <v>48600145</v>
      </c>
      <c r="GH28" s="229">
        <f t="shared" si="33"/>
        <v>65000000</v>
      </c>
      <c r="GI28" s="229">
        <f t="shared" si="33"/>
        <v>0</v>
      </c>
      <c r="GJ28" s="229">
        <f t="shared" si="33"/>
        <v>0</v>
      </c>
      <c r="GK28" s="229">
        <f>+GK16+GK17+GK18+GK24+GK25</f>
        <v>0</v>
      </c>
      <c r="GL28" s="229">
        <f>+GL16+GL17+GL18+GL24+GL25</f>
        <v>6023622</v>
      </c>
      <c r="GM28" s="229">
        <f>+GM16+GM17+GM18+GM24+GM25</f>
        <v>0</v>
      </c>
      <c r="GN28" s="229">
        <f t="shared" si="33"/>
        <v>508000</v>
      </c>
      <c r="GO28" s="229">
        <f t="shared" si="33"/>
        <v>24757116</v>
      </c>
      <c r="GP28" s="229">
        <f t="shared" si="33"/>
        <v>24757116</v>
      </c>
      <c r="GQ28" s="229">
        <f t="shared" si="33"/>
        <v>65000000</v>
      </c>
      <c r="GR28" s="229">
        <f t="shared" si="33"/>
        <v>0</v>
      </c>
      <c r="GS28" s="229">
        <f t="shared" si="33"/>
        <v>0</v>
      </c>
      <c r="GT28" s="229">
        <f>+GT16+GT17+GT18+GT24+GT25</f>
        <v>0</v>
      </c>
      <c r="GU28" s="229">
        <f>+GU16+GU17+GU18+GU24+GU25</f>
        <v>34621550</v>
      </c>
      <c r="GV28" s="229">
        <f>+GV16+GV17+GV18+GV24+GV25</f>
        <v>0</v>
      </c>
      <c r="GW28" s="229">
        <f t="shared" si="33"/>
        <v>0</v>
      </c>
      <c r="GX28" s="229">
        <f t="shared" si="33"/>
        <v>0</v>
      </c>
      <c r="GY28" s="229">
        <f t="shared" si="33"/>
        <v>0</v>
      </c>
      <c r="GZ28" s="229">
        <f t="shared" si="33"/>
        <v>0</v>
      </c>
      <c r="HA28" s="229">
        <f t="shared" si="33"/>
        <v>0</v>
      </c>
      <c r="HB28" s="229">
        <f t="shared" si="33"/>
        <v>0</v>
      </c>
      <c r="HC28" s="229">
        <f t="shared" si="33"/>
        <v>0</v>
      </c>
      <c r="HD28" s="229">
        <f t="shared" si="33"/>
        <v>0</v>
      </c>
      <c r="HE28" s="229">
        <f t="shared" si="33"/>
        <v>0</v>
      </c>
      <c r="HF28" s="229">
        <f t="shared" si="33"/>
        <v>0</v>
      </c>
      <c r="HG28" s="229">
        <f t="shared" si="33"/>
        <v>0</v>
      </c>
      <c r="HH28" s="229">
        <f t="shared" si="33"/>
        <v>0</v>
      </c>
      <c r="HI28" s="229">
        <f t="shared" si="33"/>
        <v>0</v>
      </c>
      <c r="HJ28" s="229">
        <f t="shared" si="33"/>
        <v>0</v>
      </c>
      <c r="HK28" s="229">
        <f t="shared" si="33"/>
        <v>0</v>
      </c>
      <c r="HL28" s="229">
        <f t="shared" si="33"/>
        <v>0</v>
      </c>
      <c r="HM28" s="229">
        <f t="shared" si="33"/>
        <v>0</v>
      </c>
      <c r="HN28" s="229">
        <f t="shared" si="33"/>
        <v>0</v>
      </c>
      <c r="HO28" s="229">
        <f t="shared" si="33"/>
        <v>0</v>
      </c>
      <c r="HP28" s="229">
        <f t="shared" si="33"/>
        <v>0</v>
      </c>
      <c r="HQ28" s="229">
        <f t="shared" si="33"/>
        <v>0</v>
      </c>
      <c r="HR28" s="229">
        <f t="shared" si="33"/>
        <v>0</v>
      </c>
      <c r="HS28" s="229">
        <f t="shared" si="33"/>
        <v>0</v>
      </c>
      <c r="HT28" s="229">
        <f t="shared" si="33"/>
        <v>0</v>
      </c>
      <c r="HU28" s="229">
        <f t="shared" si="33"/>
        <v>0</v>
      </c>
      <c r="HV28" s="229">
        <f t="shared" si="33"/>
        <v>0</v>
      </c>
      <c r="HW28" s="229">
        <f t="shared" si="33"/>
        <v>0</v>
      </c>
      <c r="HX28" s="229">
        <f t="shared" si="33"/>
        <v>0</v>
      </c>
      <c r="HY28" s="229">
        <f t="shared" si="33"/>
        <v>0</v>
      </c>
      <c r="HZ28" s="229">
        <f t="shared" si="33"/>
        <v>0</v>
      </c>
      <c r="IA28" s="229">
        <f t="shared" ref="IA28:KL28" si="34">+IA16+IA17+IA18+IA24+IA25</f>
        <v>0</v>
      </c>
      <c r="IB28" s="229">
        <f t="shared" si="34"/>
        <v>0</v>
      </c>
      <c r="IC28" s="229">
        <f t="shared" si="34"/>
        <v>0</v>
      </c>
      <c r="ID28" s="229">
        <f t="shared" si="34"/>
        <v>0</v>
      </c>
      <c r="IE28" s="229">
        <f t="shared" si="34"/>
        <v>0</v>
      </c>
      <c r="IF28" s="229">
        <f t="shared" si="34"/>
        <v>0</v>
      </c>
      <c r="IG28" s="229">
        <f t="shared" si="34"/>
        <v>0</v>
      </c>
      <c r="IH28" s="229">
        <f t="shared" si="34"/>
        <v>0</v>
      </c>
      <c r="II28" s="229">
        <f t="shared" si="34"/>
        <v>62281820</v>
      </c>
      <c r="IJ28" s="229">
        <f t="shared" si="34"/>
        <v>98501338</v>
      </c>
      <c r="IK28" s="229">
        <f t="shared" si="34"/>
        <v>98501338</v>
      </c>
      <c r="IL28" s="229">
        <f t="shared" si="34"/>
        <v>0</v>
      </c>
      <c r="IM28" s="229">
        <f t="shared" si="34"/>
        <v>0</v>
      </c>
      <c r="IN28" s="229">
        <f t="shared" si="34"/>
        <v>0</v>
      </c>
      <c r="IO28" s="229">
        <f t="shared" si="34"/>
        <v>0</v>
      </c>
      <c r="IP28" s="229">
        <f t="shared" si="34"/>
        <v>0</v>
      </c>
      <c r="IQ28" s="229">
        <f t="shared" si="34"/>
        <v>0</v>
      </c>
      <c r="IR28" s="229">
        <f t="shared" si="34"/>
        <v>0</v>
      </c>
      <c r="IS28" s="229">
        <f t="shared" si="34"/>
        <v>0</v>
      </c>
      <c r="IT28" s="229">
        <f t="shared" si="34"/>
        <v>0</v>
      </c>
      <c r="IU28" s="229">
        <f t="shared" si="34"/>
        <v>0</v>
      </c>
      <c r="IV28" s="229">
        <f t="shared" si="34"/>
        <v>0</v>
      </c>
      <c r="IW28" s="229">
        <f t="shared" si="34"/>
        <v>0</v>
      </c>
      <c r="IX28" s="229">
        <f t="shared" si="34"/>
        <v>0</v>
      </c>
      <c r="IY28" s="229">
        <f t="shared" si="34"/>
        <v>28847471</v>
      </c>
      <c r="IZ28" s="229">
        <f t="shared" si="34"/>
        <v>75311</v>
      </c>
      <c r="JA28" s="229">
        <f t="shared" si="34"/>
        <v>0</v>
      </c>
      <c r="JB28" s="229">
        <f t="shared" si="34"/>
        <v>0</v>
      </c>
      <c r="JC28" s="229">
        <f t="shared" si="34"/>
        <v>0</v>
      </c>
      <c r="JD28" s="229">
        <f t="shared" si="34"/>
        <v>0</v>
      </c>
      <c r="JE28" s="229">
        <f t="shared" si="34"/>
        <v>7472477</v>
      </c>
      <c r="JF28" s="229">
        <f t="shared" si="34"/>
        <v>7472477</v>
      </c>
      <c r="JG28" s="229">
        <f t="shared" si="34"/>
        <v>16587470</v>
      </c>
      <c r="JH28" s="229">
        <f t="shared" si="34"/>
        <v>18682617</v>
      </c>
      <c r="JI28" s="229">
        <f t="shared" si="34"/>
        <v>18682617</v>
      </c>
      <c r="JJ28" s="229">
        <f t="shared" si="34"/>
        <v>0</v>
      </c>
      <c r="JK28" s="229">
        <f t="shared" si="34"/>
        <v>0</v>
      </c>
      <c r="JL28" s="229">
        <f t="shared" si="34"/>
        <v>0</v>
      </c>
      <c r="JM28" s="229">
        <f t="shared" si="34"/>
        <v>18743098</v>
      </c>
      <c r="JN28" s="229">
        <f t="shared" si="34"/>
        <v>26018900</v>
      </c>
      <c r="JO28" s="229">
        <f t="shared" si="34"/>
        <v>23424925</v>
      </c>
      <c r="JP28" s="229">
        <f t="shared" si="34"/>
        <v>0</v>
      </c>
      <c r="JQ28" s="229">
        <f t="shared" si="34"/>
        <v>0</v>
      </c>
      <c r="JR28" s="229">
        <f t="shared" si="34"/>
        <v>0</v>
      </c>
      <c r="JS28" s="229">
        <f t="shared" si="34"/>
        <v>0</v>
      </c>
      <c r="JT28" s="229">
        <f t="shared" si="34"/>
        <v>0</v>
      </c>
      <c r="JU28" s="229">
        <f t="shared" si="34"/>
        <v>0</v>
      </c>
      <c r="JV28" s="229">
        <f t="shared" si="34"/>
        <v>0</v>
      </c>
      <c r="JW28" s="229">
        <f t="shared" si="34"/>
        <v>0</v>
      </c>
      <c r="JX28" s="229">
        <f t="shared" si="34"/>
        <v>0</v>
      </c>
      <c r="JY28" s="229">
        <f t="shared" si="34"/>
        <v>665896057</v>
      </c>
      <c r="JZ28" s="229">
        <f t="shared" si="34"/>
        <v>562836618</v>
      </c>
      <c r="KA28" s="229">
        <f t="shared" si="34"/>
        <v>2901950</v>
      </c>
      <c r="KB28" s="229">
        <f t="shared" si="34"/>
        <v>0</v>
      </c>
      <c r="KC28" s="229">
        <f t="shared" si="34"/>
        <v>8475667</v>
      </c>
      <c r="KD28" s="229">
        <f t="shared" si="34"/>
        <v>5824666</v>
      </c>
      <c r="KE28" s="229">
        <f t="shared" si="34"/>
        <v>0</v>
      </c>
      <c r="KF28" s="229">
        <f t="shared" si="34"/>
        <v>0</v>
      </c>
      <c r="KG28" s="229">
        <f t="shared" si="34"/>
        <v>0</v>
      </c>
      <c r="KH28" s="229">
        <f t="shared" si="34"/>
        <v>0</v>
      </c>
      <c r="KI28" s="229">
        <f t="shared" si="34"/>
        <v>0</v>
      </c>
      <c r="KJ28" s="229">
        <f t="shared" si="34"/>
        <v>0</v>
      </c>
      <c r="KK28" s="229">
        <f t="shared" si="34"/>
        <v>0</v>
      </c>
      <c r="KL28" s="229">
        <f t="shared" si="34"/>
        <v>0</v>
      </c>
      <c r="KM28" s="229">
        <f t="shared" ref="KM28:MX28" si="35">+KM16+KM17+KM18+KM24+KM25</f>
        <v>0</v>
      </c>
      <c r="KN28" s="229">
        <f t="shared" si="35"/>
        <v>497685262</v>
      </c>
      <c r="KO28" s="229">
        <f t="shared" si="35"/>
        <v>387941151</v>
      </c>
      <c r="KP28" s="229">
        <f t="shared" si="35"/>
        <v>322088092</v>
      </c>
      <c r="KQ28" s="229">
        <f t="shared" si="35"/>
        <v>0</v>
      </c>
      <c r="KR28" s="229">
        <f t="shared" si="35"/>
        <v>22529027</v>
      </c>
      <c r="KS28" s="229">
        <f t="shared" si="35"/>
        <v>21140907</v>
      </c>
      <c r="KT28" s="229">
        <f t="shared" si="35"/>
        <v>0</v>
      </c>
      <c r="KU28" s="229">
        <f t="shared" si="35"/>
        <v>1811551</v>
      </c>
      <c r="KV28" s="229">
        <f t="shared" si="35"/>
        <v>1811551</v>
      </c>
      <c r="KW28" s="229">
        <f t="shared" si="35"/>
        <v>0</v>
      </c>
      <c r="KX28" s="229">
        <f t="shared" si="35"/>
        <v>0</v>
      </c>
      <c r="KY28" s="229">
        <f t="shared" si="35"/>
        <v>0</v>
      </c>
      <c r="KZ28" s="229">
        <f t="shared" si="35"/>
        <v>0</v>
      </c>
      <c r="LA28" s="229">
        <f t="shared" si="35"/>
        <v>0</v>
      </c>
      <c r="LB28" s="229">
        <f t="shared" si="35"/>
        <v>0</v>
      </c>
      <c r="LC28" s="229">
        <f t="shared" si="35"/>
        <v>759054</v>
      </c>
      <c r="LD28" s="229">
        <f t="shared" si="35"/>
        <v>759054</v>
      </c>
      <c r="LE28" s="229">
        <f t="shared" si="35"/>
        <v>759054</v>
      </c>
      <c r="LF28" s="229">
        <f t="shared" si="35"/>
        <v>7499350</v>
      </c>
      <c r="LG28" s="229">
        <f t="shared" si="35"/>
        <v>41418264</v>
      </c>
      <c r="LH28" s="229">
        <f t="shared" si="35"/>
        <v>6604000</v>
      </c>
      <c r="LI28" s="229">
        <f t="shared" si="35"/>
        <v>0</v>
      </c>
      <c r="LJ28" s="229">
        <f t="shared" si="35"/>
        <v>0</v>
      </c>
      <c r="LK28" s="229">
        <f t="shared" si="35"/>
        <v>0</v>
      </c>
      <c r="LL28" s="229">
        <f t="shared" si="35"/>
        <v>48986500</v>
      </c>
      <c r="LM28" s="229">
        <f t="shared" si="35"/>
        <v>48986500</v>
      </c>
      <c r="LN28" s="229">
        <f t="shared" si="35"/>
        <v>18986500</v>
      </c>
      <c r="LO28" s="229">
        <f t="shared" si="35"/>
        <v>0</v>
      </c>
      <c r="LP28" s="229">
        <f t="shared" si="35"/>
        <v>0</v>
      </c>
      <c r="LQ28" s="229">
        <f t="shared" si="35"/>
        <v>0</v>
      </c>
      <c r="LR28" s="229">
        <f t="shared" si="35"/>
        <v>9000000</v>
      </c>
      <c r="LS28" s="229">
        <f t="shared" si="35"/>
        <v>5000000</v>
      </c>
      <c r="LT28" s="229">
        <f t="shared" si="35"/>
        <v>0</v>
      </c>
      <c r="LU28" s="229">
        <f t="shared" si="35"/>
        <v>0</v>
      </c>
      <c r="LV28" s="229">
        <f t="shared" si="35"/>
        <v>0</v>
      </c>
      <c r="LW28" s="229">
        <f t="shared" si="35"/>
        <v>0</v>
      </c>
      <c r="LX28" s="229">
        <f t="shared" si="35"/>
        <v>43997512</v>
      </c>
      <c r="LY28" s="229">
        <f t="shared" si="35"/>
        <v>48997508</v>
      </c>
      <c r="LZ28" s="229">
        <f t="shared" si="35"/>
        <v>48997508</v>
      </c>
      <c r="MA28" s="229">
        <f t="shared" si="35"/>
        <v>5000000</v>
      </c>
      <c r="MB28" s="229">
        <f t="shared" si="35"/>
        <v>500004</v>
      </c>
      <c r="MC28" s="229">
        <f t="shared" si="35"/>
        <v>500000</v>
      </c>
      <c r="MD28" s="229">
        <f t="shared" si="35"/>
        <v>4690164</v>
      </c>
      <c r="ME28" s="229">
        <f t="shared" si="35"/>
        <v>9146167</v>
      </c>
      <c r="MF28" s="229">
        <f t="shared" si="35"/>
        <v>9146007</v>
      </c>
      <c r="MG28" s="229">
        <f t="shared" si="35"/>
        <v>0</v>
      </c>
      <c r="MH28" s="229">
        <f t="shared" si="35"/>
        <v>88545</v>
      </c>
      <c r="MI28" s="229">
        <f t="shared" si="35"/>
        <v>88544</v>
      </c>
      <c r="MJ28" s="229">
        <f t="shared" si="35"/>
        <v>0</v>
      </c>
      <c r="MK28" s="229">
        <f t="shared" si="35"/>
        <v>5461000</v>
      </c>
      <c r="ML28" s="229">
        <f t="shared" si="35"/>
        <v>5461000</v>
      </c>
      <c r="MM28" s="229">
        <f t="shared" si="35"/>
        <v>0</v>
      </c>
      <c r="MN28" s="229">
        <f t="shared" si="35"/>
        <v>80000</v>
      </c>
      <c r="MO28" s="229">
        <f t="shared" si="35"/>
        <v>80000</v>
      </c>
      <c r="MP28" s="229">
        <f t="shared" si="35"/>
        <v>0</v>
      </c>
      <c r="MQ28" s="229">
        <f t="shared" si="35"/>
        <v>123664200</v>
      </c>
      <c r="MR28" s="229">
        <f t="shared" si="35"/>
        <v>5664200</v>
      </c>
      <c r="MS28" s="229">
        <f t="shared" si="35"/>
        <v>0</v>
      </c>
      <c r="MT28" s="229">
        <f t="shared" si="35"/>
        <v>8826500</v>
      </c>
      <c r="MU28" s="229">
        <f t="shared" si="35"/>
        <v>8826500</v>
      </c>
      <c r="MV28" s="229">
        <f t="shared" si="35"/>
        <v>0</v>
      </c>
      <c r="MW28" s="229">
        <f t="shared" si="35"/>
        <v>0</v>
      </c>
      <c r="MX28" s="229">
        <f t="shared" si="35"/>
        <v>0</v>
      </c>
      <c r="MY28" s="663">
        <f>+E28+H28+K28+Q28++T28+W28+Z28+AC28+AF28+AO28+AR28+AU28+AX28+BA28+BD28+BG28+BJ28+BM28+BV28+BY28+CB28+CE28+CH28+CK28+CN28+CQ28+CT28+DC28+DF28+DI28+DL28+DR28+EA28+ED28+EG28+EJ28+EM28+EP28+ES28+EV28+FN28+FT28+GC28+GF28+GI28+GO28+GR28+HJ28+HM28+HP28+IM28+IJ28+IV28+IY28+JE28+JH28+JK28+JN28+JT28+JZ28+KC28+LA28+LD28+LG28+LJ28+LM28+LP28+LS28+LV28+ME28+MH28+MQ28+MT28+GL28+GU28+KU28+JW28+IH28</f>
        <v>1721912514</v>
      </c>
      <c r="MZ28" s="663">
        <f>+F28+I28+L28+R28++U28+X28+AA28+AD28+AG28+AP28+AS28+AV28+AY28+BB28+BE28+BH28+BK28+BN28+BW28+BZ28+CC28+CF28+CI28+CL28+CO28+CR28+CU28+DD28+DG28+DJ28+DM28+DS28+EB28+EE28+EH28+EK28+EN28+EQ28+ET28+EW28+FO28+FU28+GD28+GG28+GJ28+GP28+GS28+HK28+HN28+HQ28+IN28+IK28+IW28+IZ28+JF28+JI28+JL28+JO28+JU28+KA28+KD28+LB28+LE28+LH28+LK28+LN28+LQ28+LT28+LW28+MF28+MI28+MR28+MU28+GM28+GV28+KV28+JX28</f>
        <v>773945986</v>
      </c>
      <c r="NA28" s="663">
        <f>+N28+AI28+AL28+BP28+BS28+CW28+CZ28+DO28+DU28+DX28+EY28+FB28+FE28+FH28+FK28+FZ28+GX28+HA28+HD28+HG28+HS28+HV28+HY28+IB28+IE28+IP28+IS28+JB28+JQ28+KF28+KI28+KL28+KO28+KR28+KX28+LY28+MB28+MK28+MN28+FW28</f>
        <v>517635495</v>
      </c>
      <c r="NB28" s="663">
        <f t="shared" si="3"/>
        <v>420368562</v>
      </c>
      <c r="NC28" s="663"/>
    </row>
    <row r="29" spans="1:369" s="215" customFormat="1" ht="21.75" customHeight="1" x14ac:dyDescent="0.25">
      <c r="A29" s="208" t="s">
        <v>262</v>
      </c>
      <c r="B29" s="224" t="s">
        <v>328</v>
      </c>
      <c r="C29" s="210" t="s">
        <v>31</v>
      </c>
      <c r="D29" s="229">
        <f>+D27+D28</f>
        <v>270974377</v>
      </c>
      <c r="E29" s="229">
        <f t="shared" ref="E29:CV29" si="36">+E27+E28</f>
        <v>255058296</v>
      </c>
      <c r="F29" s="229">
        <f t="shared" si="36"/>
        <v>254120377</v>
      </c>
      <c r="G29" s="229">
        <f t="shared" si="36"/>
        <v>87152400</v>
      </c>
      <c r="H29" s="229">
        <f t="shared" si="36"/>
        <v>62761708</v>
      </c>
      <c r="I29" s="229">
        <f t="shared" si="36"/>
        <v>62693602</v>
      </c>
      <c r="J29" s="229">
        <f t="shared" si="36"/>
        <v>4820771</v>
      </c>
      <c r="K29" s="229">
        <f t="shared" si="36"/>
        <v>4820771</v>
      </c>
      <c r="L29" s="229">
        <f t="shared" si="36"/>
        <v>4820771</v>
      </c>
      <c r="M29" s="229">
        <f t="shared" si="36"/>
        <v>0</v>
      </c>
      <c r="N29" s="229">
        <f t="shared" si="36"/>
        <v>2351024</v>
      </c>
      <c r="O29" s="229">
        <f t="shared" si="36"/>
        <v>2351024</v>
      </c>
      <c r="P29" s="229">
        <f t="shared" si="36"/>
        <v>30660400</v>
      </c>
      <c r="Q29" s="229">
        <f t="shared" si="36"/>
        <v>20389850</v>
      </c>
      <c r="R29" s="229">
        <f t="shared" si="36"/>
        <v>4864100</v>
      </c>
      <c r="S29" s="229">
        <f t="shared" si="36"/>
        <v>254000</v>
      </c>
      <c r="T29" s="229">
        <f t="shared" si="36"/>
        <v>0</v>
      </c>
      <c r="U29" s="229">
        <f t="shared" si="36"/>
        <v>0</v>
      </c>
      <c r="V29" s="229">
        <f t="shared" si="36"/>
        <v>67707653</v>
      </c>
      <c r="W29" s="229">
        <f t="shared" si="36"/>
        <v>113920196</v>
      </c>
      <c r="X29" s="229">
        <f t="shared" si="36"/>
        <v>37937822</v>
      </c>
      <c r="Y29" s="229">
        <f t="shared" si="36"/>
        <v>13073150</v>
      </c>
      <c r="Z29" s="229">
        <f t="shared" si="36"/>
        <v>43935387</v>
      </c>
      <c r="AA29" s="229">
        <f t="shared" si="36"/>
        <v>43935387</v>
      </c>
      <c r="AB29" s="229">
        <f t="shared" si="36"/>
        <v>1000000</v>
      </c>
      <c r="AC29" s="229">
        <f t="shared" si="36"/>
        <v>1000000</v>
      </c>
      <c r="AD29" s="229">
        <f t="shared" si="36"/>
        <v>0</v>
      </c>
      <c r="AE29" s="229">
        <f t="shared" si="36"/>
        <v>10027494</v>
      </c>
      <c r="AF29" s="229">
        <f t="shared" si="36"/>
        <v>30728244</v>
      </c>
      <c r="AG29" s="229">
        <f t="shared" si="36"/>
        <v>27314173</v>
      </c>
      <c r="AH29" s="229">
        <f t="shared" si="36"/>
        <v>2000000</v>
      </c>
      <c r="AI29" s="229">
        <f t="shared" si="36"/>
        <v>3690750</v>
      </c>
      <c r="AJ29" s="229">
        <f t="shared" si="36"/>
        <v>3500000</v>
      </c>
      <c r="AK29" s="229">
        <f t="shared" si="36"/>
        <v>0</v>
      </c>
      <c r="AL29" s="229">
        <f t="shared" si="36"/>
        <v>160000</v>
      </c>
      <c r="AM29" s="229">
        <f t="shared" si="36"/>
        <v>160000</v>
      </c>
      <c r="AN29" s="229">
        <f t="shared" si="36"/>
        <v>0</v>
      </c>
      <c r="AO29" s="229">
        <f t="shared" si="36"/>
        <v>0</v>
      </c>
      <c r="AP29" s="229">
        <f t="shared" si="36"/>
        <v>0</v>
      </c>
      <c r="AQ29" s="229">
        <f t="shared" si="36"/>
        <v>0</v>
      </c>
      <c r="AR29" s="229">
        <f t="shared" si="36"/>
        <v>0</v>
      </c>
      <c r="AS29" s="229">
        <f t="shared" si="36"/>
        <v>0</v>
      </c>
      <c r="AT29" s="229">
        <f t="shared" si="36"/>
        <v>6698581</v>
      </c>
      <c r="AU29" s="229">
        <f t="shared" si="36"/>
        <v>15778109</v>
      </c>
      <c r="AV29" s="229">
        <f t="shared" si="36"/>
        <v>698581</v>
      </c>
      <c r="AW29" s="229">
        <f t="shared" si="36"/>
        <v>0</v>
      </c>
      <c r="AX29" s="229">
        <f t="shared" si="36"/>
        <v>0</v>
      </c>
      <c r="AY29" s="229">
        <f t="shared" si="36"/>
        <v>0</v>
      </c>
      <c r="AZ29" s="229">
        <f t="shared" si="36"/>
        <v>91678600</v>
      </c>
      <c r="BA29" s="229">
        <f t="shared" si="36"/>
        <v>105226678</v>
      </c>
      <c r="BB29" s="229">
        <f t="shared" si="36"/>
        <v>88663593</v>
      </c>
      <c r="BC29" s="229">
        <f t="shared" si="36"/>
        <v>93624680</v>
      </c>
      <c r="BD29" s="229">
        <f t="shared" si="36"/>
        <v>133228385</v>
      </c>
      <c r="BE29" s="229">
        <f t="shared" si="36"/>
        <v>114932223</v>
      </c>
      <c r="BF29" s="229">
        <f t="shared" si="36"/>
        <v>0</v>
      </c>
      <c r="BG29" s="229">
        <f t="shared" si="36"/>
        <v>0</v>
      </c>
      <c r="BH29" s="229">
        <f t="shared" si="36"/>
        <v>0</v>
      </c>
      <c r="BI29" s="229">
        <f t="shared" si="36"/>
        <v>8981569</v>
      </c>
      <c r="BJ29" s="229">
        <f t="shared" si="36"/>
        <v>10484010</v>
      </c>
      <c r="BK29" s="229">
        <f t="shared" si="36"/>
        <v>7393970</v>
      </c>
      <c r="BL29" s="229">
        <f t="shared" si="36"/>
        <v>0</v>
      </c>
      <c r="BM29" s="229">
        <f t="shared" si="36"/>
        <v>0</v>
      </c>
      <c r="BN29" s="229">
        <f t="shared" si="36"/>
        <v>0</v>
      </c>
      <c r="BO29" s="229">
        <f t="shared" si="36"/>
        <v>0</v>
      </c>
      <c r="BP29" s="229">
        <f t="shared" si="36"/>
        <v>0</v>
      </c>
      <c r="BQ29" s="229">
        <f t="shared" si="36"/>
        <v>0</v>
      </c>
      <c r="BR29" s="229">
        <f t="shared" si="36"/>
        <v>26400000</v>
      </c>
      <c r="BS29" s="229">
        <f t="shared" si="36"/>
        <v>25563553</v>
      </c>
      <c r="BT29" s="229">
        <f t="shared" si="36"/>
        <v>24418959</v>
      </c>
      <c r="BU29" s="229">
        <f t="shared" si="36"/>
        <v>10000000</v>
      </c>
      <c r="BV29" s="229">
        <f t="shared" si="36"/>
        <v>5000000</v>
      </c>
      <c r="BW29" s="229">
        <f t="shared" si="36"/>
        <v>4914900</v>
      </c>
      <c r="BX29" s="229">
        <f t="shared" si="36"/>
        <v>25000000</v>
      </c>
      <c r="BY29" s="229">
        <f t="shared" si="36"/>
        <v>22024600</v>
      </c>
      <c r="BZ29" s="229">
        <f t="shared" si="36"/>
        <v>21924600</v>
      </c>
      <c r="CA29" s="229">
        <f t="shared" si="36"/>
        <v>298950943</v>
      </c>
      <c r="CB29" s="229">
        <f t="shared" si="36"/>
        <v>294588859</v>
      </c>
      <c r="CC29" s="229">
        <f t="shared" si="36"/>
        <v>278032256</v>
      </c>
      <c r="CD29" s="229">
        <f t="shared" si="36"/>
        <v>43128038</v>
      </c>
      <c r="CE29" s="229">
        <f t="shared" si="36"/>
        <v>46905466</v>
      </c>
      <c r="CF29" s="229">
        <f t="shared" si="36"/>
        <v>34738224</v>
      </c>
      <c r="CG29" s="229">
        <f t="shared" si="36"/>
        <v>51500000</v>
      </c>
      <c r="CH29" s="229">
        <f t="shared" si="36"/>
        <v>29146500</v>
      </c>
      <c r="CI29" s="229">
        <f t="shared" si="36"/>
        <v>29146500</v>
      </c>
      <c r="CJ29" s="229">
        <f t="shared" si="36"/>
        <v>8300000</v>
      </c>
      <c r="CK29" s="229">
        <f t="shared" si="36"/>
        <v>15414485</v>
      </c>
      <c r="CL29" s="229">
        <f t="shared" si="36"/>
        <v>15188713</v>
      </c>
      <c r="CM29" s="229">
        <f t="shared" si="36"/>
        <v>194079193</v>
      </c>
      <c r="CN29" s="229">
        <f t="shared" si="36"/>
        <v>200780446</v>
      </c>
      <c r="CO29" s="229">
        <f t="shared" si="36"/>
        <v>177600406</v>
      </c>
      <c r="CP29" s="229">
        <f t="shared" si="36"/>
        <v>101000000</v>
      </c>
      <c r="CQ29" s="229">
        <f t="shared" si="36"/>
        <v>120507757</v>
      </c>
      <c r="CR29" s="229">
        <f t="shared" si="36"/>
        <v>116788466</v>
      </c>
      <c r="CS29" s="229">
        <f t="shared" si="36"/>
        <v>36276653</v>
      </c>
      <c r="CT29" s="229">
        <f t="shared" si="36"/>
        <v>42328926</v>
      </c>
      <c r="CU29" s="229">
        <f t="shared" si="36"/>
        <v>27575940</v>
      </c>
      <c r="CV29" s="229">
        <f t="shared" si="36"/>
        <v>6630000</v>
      </c>
      <c r="CW29" s="229">
        <f t="shared" ref="CW29:FH29" si="37">+CW27+CW28</f>
        <v>9110000</v>
      </c>
      <c r="CX29" s="229">
        <f t="shared" si="37"/>
        <v>8526276</v>
      </c>
      <c r="CY29" s="229">
        <f t="shared" si="37"/>
        <v>20722250</v>
      </c>
      <c r="CZ29" s="229">
        <f t="shared" si="37"/>
        <v>20722250</v>
      </c>
      <c r="DA29" s="229">
        <f t="shared" si="37"/>
        <v>13648000</v>
      </c>
      <c r="DB29" s="229">
        <f t="shared" si="37"/>
        <v>24152000</v>
      </c>
      <c r="DC29" s="229">
        <f t="shared" si="37"/>
        <v>26070347</v>
      </c>
      <c r="DD29" s="229">
        <f t="shared" si="37"/>
        <v>25724347</v>
      </c>
      <c r="DE29" s="229">
        <f t="shared" si="37"/>
        <v>21019300</v>
      </c>
      <c r="DF29" s="229">
        <f t="shared" si="37"/>
        <v>21844800</v>
      </c>
      <c r="DG29" s="229">
        <f t="shared" si="37"/>
        <v>6724651</v>
      </c>
      <c r="DH29" s="229">
        <f t="shared" si="37"/>
        <v>37801077</v>
      </c>
      <c r="DI29" s="229">
        <f t="shared" si="37"/>
        <v>55926327</v>
      </c>
      <c r="DJ29" s="229">
        <f t="shared" si="37"/>
        <v>33977618</v>
      </c>
      <c r="DK29" s="229">
        <f t="shared" si="37"/>
        <v>0</v>
      </c>
      <c r="DL29" s="229">
        <f t="shared" si="37"/>
        <v>0</v>
      </c>
      <c r="DM29" s="229">
        <f t="shared" si="37"/>
        <v>0</v>
      </c>
      <c r="DN29" s="229">
        <f t="shared" si="37"/>
        <v>2000000</v>
      </c>
      <c r="DO29" s="229">
        <f t="shared" si="37"/>
        <v>2000000</v>
      </c>
      <c r="DP29" s="229">
        <f t="shared" si="37"/>
        <v>1574800</v>
      </c>
      <c r="DQ29" s="229">
        <f t="shared" si="37"/>
        <v>15444500</v>
      </c>
      <c r="DR29" s="229">
        <f t="shared" si="37"/>
        <v>18373000</v>
      </c>
      <c r="DS29" s="229">
        <f t="shared" si="37"/>
        <v>10148450</v>
      </c>
      <c r="DT29" s="229">
        <f t="shared" si="37"/>
        <v>500000</v>
      </c>
      <c r="DU29" s="229">
        <f t="shared" si="37"/>
        <v>500000</v>
      </c>
      <c r="DV29" s="229">
        <f t="shared" si="37"/>
        <v>0</v>
      </c>
      <c r="DW29" s="229">
        <f t="shared" si="37"/>
        <v>3465000</v>
      </c>
      <c r="DX29" s="229">
        <f t="shared" si="37"/>
        <v>3665000</v>
      </c>
      <c r="DY29" s="229">
        <f t="shared" si="37"/>
        <v>1932731</v>
      </c>
      <c r="DZ29" s="229">
        <f t="shared" si="37"/>
        <v>16434280</v>
      </c>
      <c r="EA29" s="229">
        <f t="shared" si="37"/>
        <v>16434280</v>
      </c>
      <c r="EB29" s="229">
        <f t="shared" si="37"/>
        <v>9796253</v>
      </c>
      <c r="EC29" s="229">
        <f t="shared" si="37"/>
        <v>40386460</v>
      </c>
      <c r="ED29" s="229">
        <f t="shared" si="37"/>
        <v>46830530</v>
      </c>
      <c r="EE29" s="229">
        <f t="shared" si="37"/>
        <v>34259907</v>
      </c>
      <c r="EF29" s="229">
        <f t="shared" si="37"/>
        <v>1500000</v>
      </c>
      <c r="EG29" s="229">
        <f t="shared" si="37"/>
        <v>1500000</v>
      </c>
      <c r="EH29" s="229">
        <f t="shared" si="37"/>
        <v>619653</v>
      </c>
      <c r="EI29" s="229">
        <f t="shared" si="37"/>
        <v>2000000</v>
      </c>
      <c r="EJ29" s="229">
        <f t="shared" si="37"/>
        <v>23285331</v>
      </c>
      <c r="EK29" s="229">
        <f t="shared" si="37"/>
        <v>19820707</v>
      </c>
      <c r="EL29" s="229">
        <f t="shared" si="37"/>
        <v>1011638</v>
      </c>
      <c r="EM29" s="229">
        <f t="shared" si="37"/>
        <v>1026838</v>
      </c>
      <c r="EN29" s="229">
        <f t="shared" si="37"/>
        <v>389068</v>
      </c>
      <c r="EO29" s="229">
        <f t="shared" si="37"/>
        <v>28739662</v>
      </c>
      <c r="EP29" s="229">
        <f t="shared" si="37"/>
        <v>29854678</v>
      </c>
      <c r="EQ29" s="229">
        <f t="shared" si="37"/>
        <v>22138690</v>
      </c>
      <c r="ER29" s="229">
        <f t="shared" si="37"/>
        <v>86623342</v>
      </c>
      <c r="ES29" s="229">
        <f t="shared" si="37"/>
        <v>124278882</v>
      </c>
      <c r="ET29" s="229">
        <f t="shared" si="37"/>
        <v>108034022</v>
      </c>
      <c r="EU29" s="229">
        <f t="shared" si="37"/>
        <v>84578100</v>
      </c>
      <c r="EV29" s="229">
        <f t="shared" si="37"/>
        <v>177551943</v>
      </c>
      <c r="EW29" s="229">
        <f t="shared" si="37"/>
        <v>160032216</v>
      </c>
      <c r="EX29" s="229">
        <f t="shared" si="37"/>
        <v>36686300</v>
      </c>
      <c r="EY29" s="229">
        <f t="shared" si="37"/>
        <v>36946310</v>
      </c>
      <c r="EZ29" s="229">
        <f t="shared" si="37"/>
        <v>25415920</v>
      </c>
      <c r="FA29" s="229">
        <f t="shared" si="37"/>
        <v>52794000</v>
      </c>
      <c r="FB29" s="229">
        <f t="shared" si="37"/>
        <v>60826982</v>
      </c>
      <c r="FC29" s="229">
        <f t="shared" si="37"/>
        <v>56111378</v>
      </c>
      <c r="FD29" s="229">
        <f t="shared" si="37"/>
        <v>2000000</v>
      </c>
      <c r="FE29" s="229">
        <f t="shared" si="37"/>
        <v>2018945</v>
      </c>
      <c r="FF29" s="229">
        <f t="shared" si="37"/>
        <v>724057</v>
      </c>
      <c r="FG29" s="229">
        <f t="shared" si="37"/>
        <v>84939691</v>
      </c>
      <c r="FH29" s="229">
        <f t="shared" si="37"/>
        <v>141037787</v>
      </c>
      <c r="FI29" s="229">
        <f t="shared" ref="FI29:HZ29" si="38">+FI27+FI28</f>
        <v>95677852</v>
      </c>
      <c r="FJ29" s="229">
        <f t="shared" si="38"/>
        <v>13000000</v>
      </c>
      <c r="FK29" s="229">
        <f t="shared" si="38"/>
        <v>17768251</v>
      </c>
      <c r="FL29" s="229">
        <f t="shared" si="38"/>
        <v>17768251</v>
      </c>
      <c r="FM29" s="229">
        <f t="shared" si="38"/>
        <v>24000000</v>
      </c>
      <c r="FN29" s="229">
        <f t="shared" si="38"/>
        <v>24000000</v>
      </c>
      <c r="FO29" s="229">
        <f t="shared" si="38"/>
        <v>23724660</v>
      </c>
      <c r="FP29" s="229">
        <f t="shared" si="38"/>
        <v>2650000</v>
      </c>
      <c r="FQ29" s="229">
        <f t="shared" si="38"/>
        <v>2850000</v>
      </c>
      <c r="FR29" s="229">
        <f t="shared" si="38"/>
        <v>2188901</v>
      </c>
      <c r="FS29" s="229">
        <f t="shared" si="38"/>
        <v>500000</v>
      </c>
      <c r="FT29" s="229">
        <f t="shared" si="38"/>
        <v>572000</v>
      </c>
      <c r="FU29" s="229">
        <f t="shared" si="38"/>
        <v>372000</v>
      </c>
      <c r="FV29" s="229">
        <f t="shared" si="38"/>
        <v>3840000</v>
      </c>
      <c r="FW29" s="229">
        <f t="shared" si="38"/>
        <v>6174220</v>
      </c>
      <c r="FX29" s="229">
        <f t="shared" si="38"/>
        <v>5804208</v>
      </c>
      <c r="FY29" s="229">
        <f t="shared" si="38"/>
        <v>1200000</v>
      </c>
      <c r="FZ29" s="229">
        <f t="shared" si="38"/>
        <v>1200000</v>
      </c>
      <c r="GA29" s="229">
        <f t="shared" si="38"/>
        <v>0</v>
      </c>
      <c r="GB29" s="229">
        <f t="shared" si="38"/>
        <v>0</v>
      </c>
      <c r="GC29" s="229">
        <f t="shared" si="38"/>
        <v>0</v>
      </c>
      <c r="GD29" s="229">
        <f t="shared" si="38"/>
        <v>0</v>
      </c>
      <c r="GE29" s="229">
        <f t="shared" si="38"/>
        <v>0</v>
      </c>
      <c r="GF29" s="229">
        <f t="shared" si="38"/>
        <v>55649285</v>
      </c>
      <c r="GG29" s="229">
        <f t="shared" si="38"/>
        <v>55649285</v>
      </c>
      <c r="GH29" s="229">
        <f t="shared" si="38"/>
        <v>65000000</v>
      </c>
      <c r="GI29" s="229">
        <f t="shared" si="38"/>
        <v>0</v>
      </c>
      <c r="GJ29" s="229">
        <f t="shared" si="38"/>
        <v>0</v>
      </c>
      <c r="GK29" s="229">
        <f>+GK27+GK28</f>
        <v>0</v>
      </c>
      <c r="GL29" s="229">
        <f>+GL27+GL28</f>
        <v>7650000</v>
      </c>
      <c r="GM29" s="229">
        <f>+GM27+GM28</f>
        <v>0</v>
      </c>
      <c r="GN29" s="229">
        <f t="shared" si="38"/>
        <v>508000</v>
      </c>
      <c r="GO29" s="229">
        <f t="shared" si="38"/>
        <v>24965777</v>
      </c>
      <c r="GP29" s="229">
        <f t="shared" si="38"/>
        <v>24965777</v>
      </c>
      <c r="GQ29" s="229">
        <f t="shared" si="38"/>
        <v>65000000</v>
      </c>
      <c r="GR29" s="229">
        <f t="shared" si="38"/>
        <v>0</v>
      </c>
      <c r="GS29" s="229">
        <f t="shared" si="38"/>
        <v>0</v>
      </c>
      <c r="GT29" s="229">
        <f>+GT27+GT28</f>
        <v>0</v>
      </c>
      <c r="GU29" s="229">
        <f>+GU27+GU28</f>
        <v>43969369</v>
      </c>
      <c r="GV29" s="229">
        <f>+GV27+GV28</f>
        <v>0</v>
      </c>
      <c r="GW29" s="229">
        <f t="shared" si="38"/>
        <v>3700000</v>
      </c>
      <c r="GX29" s="229">
        <f t="shared" si="38"/>
        <v>4080570</v>
      </c>
      <c r="GY29" s="229">
        <f t="shared" si="38"/>
        <v>3880358</v>
      </c>
      <c r="GZ29" s="229">
        <f t="shared" si="38"/>
        <v>2740000</v>
      </c>
      <c r="HA29" s="229">
        <f t="shared" si="38"/>
        <v>2740000</v>
      </c>
      <c r="HB29" s="229">
        <f t="shared" si="38"/>
        <v>1497659</v>
      </c>
      <c r="HC29" s="229">
        <f t="shared" si="38"/>
        <v>7270500</v>
      </c>
      <c r="HD29" s="229">
        <f t="shared" si="38"/>
        <v>7358049</v>
      </c>
      <c r="HE29" s="229">
        <f t="shared" si="38"/>
        <v>5497163</v>
      </c>
      <c r="HF29" s="229">
        <f t="shared" si="38"/>
        <v>2000000</v>
      </c>
      <c r="HG29" s="229">
        <f t="shared" si="38"/>
        <v>2000000</v>
      </c>
      <c r="HH29" s="229">
        <f t="shared" si="38"/>
        <v>1500000</v>
      </c>
      <c r="HI29" s="229">
        <f t="shared" si="38"/>
        <v>8255800</v>
      </c>
      <c r="HJ29" s="229">
        <f t="shared" si="38"/>
        <v>8255800</v>
      </c>
      <c r="HK29" s="229">
        <f t="shared" si="38"/>
        <v>6226550</v>
      </c>
      <c r="HL29" s="229">
        <f t="shared" si="38"/>
        <v>2017360</v>
      </c>
      <c r="HM29" s="229">
        <f t="shared" si="38"/>
        <v>2017360</v>
      </c>
      <c r="HN29" s="229">
        <f t="shared" si="38"/>
        <v>1373557</v>
      </c>
      <c r="HO29" s="229">
        <f t="shared" si="38"/>
        <v>5000000</v>
      </c>
      <c r="HP29" s="229">
        <f t="shared" si="38"/>
        <v>5000000</v>
      </c>
      <c r="HQ29" s="229">
        <f t="shared" si="38"/>
        <v>2071000</v>
      </c>
      <c r="HR29" s="229">
        <f t="shared" si="38"/>
        <v>0</v>
      </c>
      <c r="HS29" s="229">
        <f t="shared" si="38"/>
        <v>0</v>
      </c>
      <c r="HT29" s="229">
        <f t="shared" si="38"/>
        <v>0</v>
      </c>
      <c r="HU29" s="229">
        <f t="shared" si="38"/>
        <v>0</v>
      </c>
      <c r="HV29" s="229">
        <f t="shared" si="38"/>
        <v>0</v>
      </c>
      <c r="HW29" s="229">
        <f t="shared" si="38"/>
        <v>0</v>
      </c>
      <c r="HX29" s="229">
        <f t="shared" si="38"/>
        <v>0</v>
      </c>
      <c r="HY29" s="229">
        <f t="shared" si="38"/>
        <v>0</v>
      </c>
      <c r="HZ29" s="229">
        <f t="shared" si="38"/>
        <v>0</v>
      </c>
      <c r="IA29" s="229">
        <f t="shared" ref="IA29:KL29" si="39">+IA27+IA28</f>
        <v>0</v>
      </c>
      <c r="IB29" s="229">
        <f t="shared" si="39"/>
        <v>0</v>
      </c>
      <c r="IC29" s="229">
        <f t="shared" si="39"/>
        <v>0</v>
      </c>
      <c r="ID29" s="229">
        <f t="shared" si="39"/>
        <v>0</v>
      </c>
      <c r="IE29" s="229">
        <f t="shared" si="39"/>
        <v>0</v>
      </c>
      <c r="IF29" s="229">
        <f t="shared" si="39"/>
        <v>0</v>
      </c>
      <c r="IG29" s="229">
        <f t="shared" si="39"/>
        <v>897149962</v>
      </c>
      <c r="IH29" s="229">
        <f t="shared" si="39"/>
        <v>1872854738</v>
      </c>
      <c r="II29" s="229">
        <f t="shared" si="39"/>
        <v>3575792043</v>
      </c>
      <c r="IJ29" s="229">
        <f t="shared" si="39"/>
        <v>3784748279</v>
      </c>
      <c r="IK29" s="229">
        <f t="shared" si="39"/>
        <v>3222760286</v>
      </c>
      <c r="IL29" s="229">
        <f t="shared" si="39"/>
        <v>0</v>
      </c>
      <c r="IM29" s="229">
        <f t="shared" si="39"/>
        <v>0</v>
      </c>
      <c r="IN29" s="229">
        <f t="shared" si="39"/>
        <v>0</v>
      </c>
      <c r="IO29" s="229">
        <f t="shared" si="39"/>
        <v>3000000</v>
      </c>
      <c r="IP29" s="229">
        <f t="shared" si="39"/>
        <v>12283876</v>
      </c>
      <c r="IQ29" s="229">
        <f t="shared" si="39"/>
        <v>12135691</v>
      </c>
      <c r="IR29" s="229">
        <f t="shared" si="39"/>
        <v>0</v>
      </c>
      <c r="IS29" s="229">
        <f t="shared" si="39"/>
        <v>0</v>
      </c>
      <c r="IT29" s="229">
        <f t="shared" si="39"/>
        <v>0</v>
      </c>
      <c r="IU29" s="229">
        <f t="shared" si="39"/>
        <v>842991977</v>
      </c>
      <c r="IV29" s="229">
        <f t="shared" si="39"/>
        <v>914397335</v>
      </c>
      <c r="IW29" s="229">
        <f t="shared" si="39"/>
        <v>914397335</v>
      </c>
      <c r="IX29" s="229">
        <f t="shared" si="39"/>
        <v>0</v>
      </c>
      <c r="IY29" s="229">
        <f t="shared" si="39"/>
        <v>28847471</v>
      </c>
      <c r="IZ29" s="229">
        <f t="shared" si="39"/>
        <v>75311</v>
      </c>
      <c r="JA29" s="229">
        <f t="shared" si="39"/>
        <v>0</v>
      </c>
      <c r="JB29" s="229">
        <f t="shared" si="39"/>
        <v>0</v>
      </c>
      <c r="JC29" s="229">
        <f t="shared" si="39"/>
        <v>0</v>
      </c>
      <c r="JD29" s="229">
        <f t="shared" si="39"/>
        <v>0</v>
      </c>
      <c r="JE29" s="229">
        <f t="shared" si="39"/>
        <v>7472477</v>
      </c>
      <c r="JF29" s="229">
        <f t="shared" si="39"/>
        <v>7472477</v>
      </c>
      <c r="JG29" s="229">
        <f t="shared" si="39"/>
        <v>16587470</v>
      </c>
      <c r="JH29" s="229">
        <f t="shared" si="39"/>
        <v>18762617</v>
      </c>
      <c r="JI29" s="229">
        <f t="shared" si="39"/>
        <v>18762617</v>
      </c>
      <c r="JJ29" s="229">
        <f t="shared" si="39"/>
        <v>0</v>
      </c>
      <c r="JK29" s="229">
        <f t="shared" si="39"/>
        <v>0</v>
      </c>
      <c r="JL29" s="229">
        <f t="shared" si="39"/>
        <v>0</v>
      </c>
      <c r="JM29" s="229">
        <f t="shared" si="39"/>
        <v>18743098</v>
      </c>
      <c r="JN29" s="229">
        <f t="shared" si="39"/>
        <v>26033900</v>
      </c>
      <c r="JO29" s="229">
        <f t="shared" si="39"/>
        <v>23439925</v>
      </c>
      <c r="JP29" s="229">
        <f t="shared" si="39"/>
        <v>7000000</v>
      </c>
      <c r="JQ29" s="229">
        <f t="shared" si="39"/>
        <v>7000000</v>
      </c>
      <c r="JR29" s="229">
        <f t="shared" si="39"/>
        <v>2446101</v>
      </c>
      <c r="JS29" s="229">
        <f t="shared" si="39"/>
        <v>898020658</v>
      </c>
      <c r="JT29" s="229">
        <f t="shared" si="39"/>
        <v>898020658</v>
      </c>
      <c r="JU29" s="229">
        <f t="shared" si="39"/>
        <v>898020658</v>
      </c>
      <c r="JV29" s="229">
        <f t="shared" si="39"/>
        <v>5000000</v>
      </c>
      <c r="JW29" s="229">
        <f t="shared" si="39"/>
        <v>5000000</v>
      </c>
      <c r="JX29" s="229">
        <f t="shared" si="39"/>
        <v>347321</v>
      </c>
      <c r="JY29" s="229">
        <f t="shared" si="39"/>
        <v>680238497</v>
      </c>
      <c r="JZ29" s="229">
        <f t="shared" si="39"/>
        <v>697946447</v>
      </c>
      <c r="KA29" s="229">
        <f t="shared" si="39"/>
        <v>6711950</v>
      </c>
      <c r="KB29" s="229">
        <f t="shared" si="39"/>
        <v>0</v>
      </c>
      <c r="KC29" s="229">
        <f t="shared" si="39"/>
        <v>10004976</v>
      </c>
      <c r="KD29" s="229">
        <f t="shared" si="39"/>
        <v>7217865</v>
      </c>
      <c r="KE29" s="229">
        <f t="shared" si="39"/>
        <v>0</v>
      </c>
      <c r="KF29" s="229">
        <f t="shared" si="39"/>
        <v>0</v>
      </c>
      <c r="KG29" s="229">
        <f t="shared" si="39"/>
        <v>0</v>
      </c>
      <c r="KH29" s="229">
        <f t="shared" si="39"/>
        <v>0</v>
      </c>
      <c r="KI29" s="229">
        <f t="shared" si="39"/>
        <v>0</v>
      </c>
      <c r="KJ29" s="229">
        <f t="shared" si="39"/>
        <v>0</v>
      </c>
      <c r="KK29" s="229">
        <f t="shared" si="39"/>
        <v>0</v>
      </c>
      <c r="KL29" s="229">
        <f t="shared" si="39"/>
        <v>0</v>
      </c>
      <c r="KM29" s="229">
        <f t="shared" ref="KM29:MX29" si="40">+KM27+KM28</f>
        <v>0</v>
      </c>
      <c r="KN29" s="229">
        <f t="shared" si="40"/>
        <v>497685262</v>
      </c>
      <c r="KO29" s="229">
        <f t="shared" si="40"/>
        <v>492685262</v>
      </c>
      <c r="KP29" s="229">
        <f t="shared" si="40"/>
        <v>403814671</v>
      </c>
      <c r="KQ29" s="229">
        <f t="shared" si="40"/>
        <v>0</v>
      </c>
      <c r="KR29" s="229">
        <f t="shared" si="40"/>
        <v>25474644</v>
      </c>
      <c r="KS29" s="229">
        <f t="shared" si="40"/>
        <v>23753929</v>
      </c>
      <c r="KT29" s="229">
        <f t="shared" si="40"/>
        <v>1811551</v>
      </c>
      <c r="KU29" s="229">
        <f t="shared" si="40"/>
        <v>1811551</v>
      </c>
      <c r="KV29" s="229">
        <f t="shared" si="40"/>
        <v>1811551</v>
      </c>
      <c r="KW29" s="229">
        <f t="shared" si="40"/>
        <v>0</v>
      </c>
      <c r="KX29" s="229">
        <f t="shared" si="40"/>
        <v>0</v>
      </c>
      <c r="KY29" s="229">
        <f t="shared" si="40"/>
        <v>0</v>
      </c>
      <c r="KZ29" s="229">
        <f t="shared" si="40"/>
        <v>330331</v>
      </c>
      <c r="LA29" s="229">
        <f t="shared" si="40"/>
        <v>330331</v>
      </c>
      <c r="LB29" s="229">
        <f t="shared" si="40"/>
        <v>330331</v>
      </c>
      <c r="LC29" s="229">
        <f t="shared" si="40"/>
        <v>759054</v>
      </c>
      <c r="LD29" s="229">
        <f t="shared" si="40"/>
        <v>759054</v>
      </c>
      <c r="LE29" s="229">
        <f t="shared" si="40"/>
        <v>759054</v>
      </c>
      <c r="LF29" s="229">
        <f t="shared" si="40"/>
        <v>7499350</v>
      </c>
      <c r="LG29" s="229">
        <f t="shared" si="40"/>
        <v>49565206</v>
      </c>
      <c r="LH29" s="229">
        <f t="shared" si="40"/>
        <v>14589044</v>
      </c>
      <c r="LI29" s="229">
        <f t="shared" si="40"/>
        <v>0</v>
      </c>
      <c r="LJ29" s="229">
        <f t="shared" si="40"/>
        <v>0</v>
      </c>
      <c r="LK29" s="229">
        <f t="shared" si="40"/>
        <v>0</v>
      </c>
      <c r="LL29" s="229">
        <f t="shared" si="40"/>
        <v>48986500</v>
      </c>
      <c r="LM29" s="229">
        <f t="shared" si="40"/>
        <v>48986500</v>
      </c>
      <c r="LN29" s="229">
        <f t="shared" si="40"/>
        <v>18986500</v>
      </c>
      <c r="LO29" s="229">
        <f t="shared" si="40"/>
        <v>0</v>
      </c>
      <c r="LP29" s="229">
        <f t="shared" si="40"/>
        <v>0</v>
      </c>
      <c r="LQ29" s="229">
        <f t="shared" si="40"/>
        <v>0</v>
      </c>
      <c r="LR29" s="229">
        <f t="shared" si="40"/>
        <v>9000000</v>
      </c>
      <c r="LS29" s="229">
        <f t="shared" si="40"/>
        <v>9000000</v>
      </c>
      <c r="LT29" s="229">
        <f t="shared" si="40"/>
        <v>800000</v>
      </c>
      <c r="LU29" s="229">
        <f t="shared" si="40"/>
        <v>0</v>
      </c>
      <c r="LV29" s="229">
        <f t="shared" si="40"/>
        <v>0</v>
      </c>
      <c r="LW29" s="229">
        <f t="shared" si="40"/>
        <v>0</v>
      </c>
      <c r="LX29" s="229">
        <f t="shared" si="40"/>
        <v>43997512</v>
      </c>
      <c r="LY29" s="229">
        <f t="shared" si="40"/>
        <v>48997508</v>
      </c>
      <c r="LZ29" s="229">
        <f t="shared" si="40"/>
        <v>48997508</v>
      </c>
      <c r="MA29" s="229">
        <f t="shared" si="40"/>
        <v>5000000</v>
      </c>
      <c r="MB29" s="229">
        <f t="shared" si="40"/>
        <v>855604</v>
      </c>
      <c r="MC29" s="229">
        <f t="shared" si="40"/>
        <v>855600</v>
      </c>
      <c r="MD29" s="229">
        <f t="shared" si="40"/>
        <v>4690164</v>
      </c>
      <c r="ME29" s="229">
        <f t="shared" si="40"/>
        <v>9380167</v>
      </c>
      <c r="MF29" s="229">
        <f t="shared" si="40"/>
        <v>9380007</v>
      </c>
      <c r="MG29" s="229">
        <f t="shared" si="40"/>
        <v>0</v>
      </c>
      <c r="MH29" s="229">
        <f t="shared" si="40"/>
        <v>88545</v>
      </c>
      <c r="MI29" s="229">
        <f t="shared" si="40"/>
        <v>88544</v>
      </c>
      <c r="MJ29" s="229">
        <f t="shared" si="40"/>
        <v>0</v>
      </c>
      <c r="MK29" s="229">
        <f t="shared" si="40"/>
        <v>6032500</v>
      </c>
      <c r="ML29" s="229">
        <f t="shared" si="40"/>
        <v>6032500</v>
      </c>
      <c r="MM29" s="229">
        <f t="shared" si="40"/>
        <v>0</v>
      </c>
      <c r="MN29" s="229">
        <f t="shared" si="40"/>
        <v>80000</v>
      </c>
      <c r="MO29" s="229">
        <f t="shared" si="40"/>
        <v>80000</v>
      </c>
      <c r="MP29" s="229">
        <f t="shared" si="40"/>
        <v>0</v>
      </c>
      <c r="MQ29" s="229">
        <f t="shared" si="40"/>
        <v>124164200</v>
      </c>
      <c r="MR29" s="229">
        <f t="shared" si="40"/>
        <v>6164200</v>
      </c>
      <c r="MS29" s="229">
        <f t="shared" si="40"/>
        <v>0</v>
      </c>
      <c r="MT29" s="229">
        <f t="shared" si="40"/>
        <v>10007500</v>
      </c>
      <c r="MU29" s="229">
        <f t="shared" si="40"/>
        <v>10007500</v>
      </c>
      <c r="MV29" s="229">
        <f t="shared" si="40"/>
        <v>0</v>
      </c>
      <c r="MW29" s="229">
        <f t="shared" si="40"/>
        <v>0</v>
      </c>
      <c r="MX29" s="229">
        <f t="shared" si="40"/>
        <v>0</v>
      </c>
      <c r="MY29" s="663">
        <f>+E29+H29+K29+Q29++T29+W29+Z29+AC29+AF29+AO29+AR29+AU29+AX29+BA29+BD29+BG29+BJ29+BM29+BV29+BY29+CB29+CE29+CH29+CK29+CN29+CQ29+CT29+DC29+DF29+DI29+DL29+DR29+EA29+ED29+EG29+EJ29+EM29+EP29+ES29+EV29+FN29+FT29+GC29+GF29+GI29+GO29+GR29+HJ29+HM29+HP29+IM29+IJ29+IV29+IY29+JE29+JH29+JK29+JN29+JT29+JZ29+KC29+LA29+LD29+LG29+LJ29+LM29+LP29+LS29+LV29+ME29+MH29+MQ29+MT29+GL29+GU29+KU29+JW29+IH29</f>
        <v>10807267172</v>
      </c>
      <c r="MZ29" s="663">
        <f>+F29+I29+L29+R29++U29+X29+AA29+AD29+AG29+AP29+AS29+AV29+AY29+BB29+BE29+BH29+BK29+BN29+BW29+BZ29+CC29+CF29+CI29+CL29+CO29+CR29+CU29+DD29+DG29+DJ29+DM29+DS29+EB29+EE29+EH29+EK29+EN29+EQ29+ET29+EW29+FO29+FU29+GD29+GG29+GJ29+GP29+GS29+HK29+HN29+HQ29+IN29+IK29+IW29+IZ29+JF29+JI29+JL29+JO29+JU29+KA29+KD29+LB29+LE29+LH29+LK29+LN29+LQ29+LT29+LW29+MF29+MI29+MR29+MU29+GM29+GV29+KV29+JX29</f>
        <v>7061455491</v>
      </c>
      <c r="NA29" s="663">
        <f>+N29+AI29+AL29+BP29+BS29+CW29+CZ29+DO29+DU29+DX29+EY29+FB29+FE29+FH29+FK29+FZ29+GX29+HA29+HD29+HG29+HS29+HV29+HY29+IB29+IE29+IP29+IS29+JB29+JQ29+KF29+KI29+KL29+KO29+KR29+KX29+LY29+MB29+MK29+MN29+FQ29+FW29</f>
        <v>946173085</v>
      </c>
      <c r="NB29" s="663">
        <f t="shared" si="3"/>
        <v>770293537</v>
      </c>
      <c r="NC29" s="663"/>
      <c r="ND29" s="215">
        <v>6873632041</v>
      </c>
    </row>
    <row r="30" spans="1:369" ht="21.75" customHeight="1" x14ac:dyDescent="0.25">
      <c r="A30" s="208" t="s">
        <v>263</v>
      </c>
      <c r="B30" s="214" t="s">
        <v>52</v>
      </c>
      <c r="C30" s="221" t="s">
        <v>212</v>
      </c>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1"/>
      <c r="AC30" s="241"/>
      <c r="AD30" s="241"/>
      <c r="AE30" s="241"/>
      <c r="AF30" s="241"/>
      <c r="AG30" s="241"/>
      <c r="AH30" s="241"/>
      <c r="AI30" s="241"/>
      <c r="AJ30" s="241"/>
      <c r="AK30" s="241"/>
      <c r="AL30" s="241"/>
      <c r="AM30" s="241"/>
      <c r="AN30" s="241"/>
      <c r="AO30" s="241">
        <f>1484000+159332707</f>
        <v>160816707</v>
      </c>
      <c r="AP30" s="241">
        <v>160816707</v>
      </c>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c r="CZ30" s="241"/>
      <c r="DA30" s="241"/>
      <c r="DB30" s="241"/>
      <c r="DC30" s="241"/>
      <c r="DD30" s="241"/>
      <c r="DE30" s="241"/>
      <c r="DF30" s="241"/>
      <c r="DG30" s="241"/>
      <c r="DH30" s="241"/>
      <c r="DI30" s="241"/>
      <c r="DJ30" s="241"/>
      <c r="DK30" s="241"/>
      <c r="DL30" s="241"/>
      <c r="DM30" s="241"/>
      <c r="DN30" s="241"/>
      <c r="DO30" s="241"/>
      <c r="DP30" s="241"/>
      <c r="DQ30" s="241"/>
      <c r="DR30" s="241"/>
      <c r="DS30" s="241"/>
      <c r="DT30" s="241"/>
      <c r="DU30" s="241"/>
      <c r="DV30" s="241"/>
      <c r="DW30" s="241"/>
      <c r="DX30" s="241"/>
      <c r="DY30" s="241"/>
      <c r="DZ30" s="241"/>
      <c r="EA30" s="241"/>
      <c r="EB30" s="241"/>
      <c r="EC30" s="241"/>
      <c r="ED30" s="241"/>
      <c r="EE30" s="241"/>
      <c r="EF30" s="241"/>
      <c r="EG30" s="241"/>
      <c r="EH30" s="241"/>
      <c r="EI30" s="241"/>
      <c r="EJ30" s="241"/>
      <c r="EK30" s="241"/>
      <c r="EL30" s="241"/>
      <c r="EM30" s="241"/>
      <c r="EN30" s="241"/>
      <c r="EO30" s="241"/>
      <c r="EP30" s="241"/>
      <c r="EQ30" s="241"/>
      <c r="ER30" s="241"/>
      <c r="ES30" s="241"/>
      <c r="ET30" s="241"/>
      <c r="EU30" s="241"/>
      <c r="EV30" s="241"/>
      <c r="EW30" s="241"/>
      <c r="EX30" s="241"/>
      <c r="EY30" s="241"/>
      <c r="EZ30" s="241"/>
      <c r="FA30" s="241"/>
      <c r="FB30" s="241"/>
      <c r="FC30" s="241"/>
      <c r="FD30" s="241"/>
      <c r="FE30" s="241"/>
      <c r="FF30" s="241"/>
      <c r="FG30" s="241"/>
      <c r="FH30" s="241"/>
      <c r="FI30" s="241"/>
      <c r="FJ30" s="241"/>
      <c r="FK30" s="241"/>
      <c r="FL30" s="241"/>
      <c r="FM30" s="241"/>
      <c r="FN30" s="241"/>
      <c r="FO30" s="241"/>
      <c r="FP30" s="241"/>
      <c r="FQ30" s="241"/>
      <c r="FR30" s="241"/>
      <c r="FS30" s="241"/>
      <c r="FT30" s="241"/>
      <c r="FU30" s="241"/>
      <c r="FV30" s="241"/>
      <c r="FW30" s="241"/>
      <c r="FX30" s="241"/>
      <c r="FY30" s="241"/>
      <c r="FZ30" s="241"/>
      <c r="GA30" s="241"/>
      <c r="GB30" s="241"/>
      <c r="GC30" s="241"/>
      <c r="GD30" s="241"/>
      <c r="GE30" s="241"/>
      <c r="GF30" s="241"/>
      <c r="GG30" s="241"/>
      <c r="GH30" s="241"/>
      <c r="GI30" s="241"/>
      <c r="GJ30" s="241"/>
      <c r="GK30" s="241"/>
      <c r="GL30" s="241"/>
      <c r="GM30" s="241"/>
      <c r="GN30" s="241"/>
      <c r="GO30" s="241"/>
      <c r="GP30" s="241"/>
      <c r="GQ30" s="241"/>
      <c r="GR30" s="241"/>
      <c r="GS30" s="241"/>
      <c r="GT30" s="241"/>
      <c r="GU30" s="241"/>
      <c r="GV30" s="241"/>
      <c r="GW30" s="241"/>
      <c r="GX30" s="241"/>
      <c r="GY30" s="241"/>
      <c r="GZ30" s="241"/>
      <c r="HA30" s="241"/>
      <c r="HB30" s="241"/>
      <c r="HC30" s="241"/>
      <c r="HD30" s="241"/>
      <c r="HE30" s="241"/>
      <c r="HF30" s="241"/>
      <c r="HG30" s="241"/>
      <c r="HH30" s="241"/>
      <c r="HI30" s="241"/>
      <c r="HJ30" s="241"/>
      <c r="HK30" s="241"/>
      <c r="HL30" s="241"/>
      <c r="HM30" s="241"/>
      <c r="HN30" s="241"/>
      <c r="HO30" s="241"/>
      <c r="HP30" s="241"/>
      <c r="HQ30" s="241"/>
      <c r="HR30" s="241"/>
      <c r="HS30" s="241"/>
      <c r="HT30" s="241"/>
      <c r="HU30" s="241"/>
      <c r="HV30" s="241"/>
      <c r="HW30" s="241"/>
      <c r="HX30" s="241"/>
      <c r="HY30" s="241"/>
      <c r="HZ30" s="241"/>
      <c r="IA30" s="241"/>
      <c r="IB30" s="241"/>
      <c r="IC30" s="241"/>
      <c r="ID30" s="241"/>
      <c r="IE30" s="241"/>
      <c r="IF30" s="241"/>
      <c r="IG30" s="241"/>
      <c r="IH30" s="241"/>
      <c r="II30" s="241"/>
      <c r="IJ30" s="241"/>
      <c r="IK30" s="241"/>
      <c r="IL30" s="241"/>
      <c r="IM30" s="241"/>
      <c r="IN30" s="241"/>
      <c r="IO30" s="241"/>
      <c r="IP30" s="241"/>
      <c r="IQ30" s="241"/>
      <c r="IR30" s="241"/>
      <c r="IS30" s="241"/>
      <c r="IT30" s="241"/>
      <c r="IU30" s="241"/>
      <c r="IV30" s="241"/>
      <c r="IW30" s="241"/>
      <c r="IX30" s="241"/>
      <c r="IY30" s="241"/>
      <c r="IZ30" s="241"/>
      <c r="JA30" s="241"/>
      <c r="JB30" s="241"/>
      <c r="JC30" s="241"/>
      <c r="JD30" s="241"/>
      <c r="JE30" s="241"/>
      <c r="JF30" s="241"/>
      <c r="JG30" s="241"/>
      <c r="JH30" s="241">
        <v>8841120</v>
      </c>
      <c r="JI30" s="241">
        <v>8841120</v>
      </c>
      <c r="JJ30" s="241"/>
      <c r="JK30" s="241">
        <v>7723234</v>
      </c>
      <c r="JL30" s="241">
        <v>7723234</v>
      </c>
      <c r="JM30" s="241"/>
      <c r="JN30" s="241"/>
      <c r="JO30" s="241"/>
      <c r="JP30" s="241"/>
      <c r="JQ30" s="241"/>
      <c r="JR30" s="241"/>
      <c r="JS30" s="241"/>
      <c r="JT30" s="241"/>
      <c r="JU30" s="241"/>
      <c r="JV30" s="241"/>
      <c r="JW30" s="241"/>
      <c r="JX30" s="241"/>
      <c r="JY30" s="241"/>
      <c r="JZ30" s="241"/>
      <c r="KA30" s="241"/>
      <c r="KB30" s="241"/>
      <c r="KC30" s="241"/>
      <c r="KD30" s="241"/>
      <c r="KE30" s="241"/>
      <c r="KF30" s="241"/>
      <c r="KG30" s="241"/>
      <c r="KH30" s="241"/>
      <c r="KI30" s="241"/>
      <c r="KJ30" s="241"/>
      <c r="KK30" s="241"/>
      <c r="KL30" s="241"/>
      <c r="KM30" s="241"/>
      <c r="KN30" s="241"/>
      <c r="KO30" s="241"/>
      <c r="KP30" s="241"/>
      <c r="KQ30" s="241"/>
      <c r="KR30" s="241"/>
      <c r="KS30" s="241"/>
      <c r="KT30" s="241"/>
      <c r="KU30" s="241"/>
      <c r="KV30" s="241"/>
      <c r="KW30" s="241"/>
      <c r="KX30" s="241"/>
      <c r="KY30" s="241"/>
      <c r="KZ30" s="241"/>
      <c r="LA30" s="241"/>
      <c r="LB30" s="241"/>
      <c r="LC30" s="241"/>
      <c r="LD30" s="241"/>
      <c r="LE30" s="241"/>
      <c r="LF30" s="241"/>
      <c r="LG30" s="241"/>
      <c r="LH30" s="241"/>
      <c r="LI30" s="241"/>
      <c r="LJ30" s="241"/>
      <c r="LK30" s="241"/>
      <c r="LL30" s="241"/>
      <c r="LM30" s="241"/>
      <c r="LN30" s="241"/>
      <c r="LO30" s="241"/>
      <c r="LP30" s="241"/>
      <c r="LQ30" s="241"/>
      <c r="LR30" s="241"/>
      <c r="LS30" s="241"/>
      <c r="LT30" s="241"/>
      <c r="LU30" s="241"/>
      <c r="LV30" s="241"/>
      <c r="LW30" s="241"/>
      <c r="LX30" s="241"/>
      <c r="LY30" s="241"/>
      <c r="LZ30" s="241"/>
      <c r="MA30" s="241"/>
      <c r="MB30" s="241"/>
      <c r="MC30" s="241"/>
      <c r="MD30" s="241"/>
      <c r="ME30" s="241"/>
      <c r="MF30" s="241"/>
      <c r="MG30" s="241"/>
      <c r="MH30" s="241"/>
      <c r="MI30" s="241"/>
      <c r="MJ30" s="241"/>
      <c r="MK30" s="241"/>
      <c r="ML30" s="241"/>
      <c r="MM30" s="241"/>
      <c r="MN30" s="241"/>
      <c r="MO30" s="241"/>
      <c r="MP30" s="241"/>
      <c r="MQ30" s="241"/>
      <c r="MR30" s="241"/>
      <c r="MS30" s="241"/>
      <c r="MT30" s="241"/>
      <c r="MU30" s="241"/>
      <c r="MV30" s="241"/>
      <c r="MW30" s="241"/>
      <c r="MX30" s="241"/>
      <c r="MY30" s="663">
        <f t="shared" si="0"/>
        <v>177381061</v>
      </c>
      <c r="MZ30" s="663">
        <f>+F30+I30+L30+R30++U30+X30+AA30+AD30+AG30+AP30+AS30+AV30+AY30+BB30+BE30+BH30+BK30+BN30+BW30+BZ30+CC30+CF30+CI30+CL30+CO30+CR30+CU30+DD30+DG30+DJ30+DM30+DS30+EB30+EE30+EH30+EK30+EN30+EQ30+ET30+EW30+FO30+FU30+GD30+GG30+GJ30+GP30+GS30+HK30+HN30+HQ30+IN30+IK30+IW30+IZ30+JF30+JI30+JL30+JO30+JU30+KA30+KD30+LB30+LE30+LH30+LK30+LN30+LQ30+LT30+LW30+MF30+MI30+MR30+MU30+GM30+GV30</f>
        <v>177381061</v>
      </c>
      <c r="NA30" s="663">
        <f t="shared" si="2"/>
        <v>0</v>
      </c>
      <c r="NB30" s="663">
        <f t="shared" si="3"/>
        <v>0</v>
      </c>
      <c r="NC30" s="666"/>
      <c r="ND30" s="213" t="e">
        <f>+ND29-#REF!</f>
        <v>#REF!</v>
      </c>
    </row>
    <row r="31" spans="1:369" ht="21.75" customHeight="1" x14ac:dyDescent="0.25">
      <c r="A31" s="208" t="s">
        <v>264</v>
      </c>
      <c r="B31" s="214" t="s">
        <v>223</v>
      </c>
      <c r="C31" s="221" t="s">
        <v>213</v>
      </c>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c r="DL31" s="241"/>
      <c r="DM31" s="241"/>
      <c r="DN31" s="241"/>
      <c r="DO31" s="241"/>
      <c r="DP31" s="241"/>
      <c r="DQ31" s="241"/>
      <c r="DR31" s="241"/>
      <c r="DS31" s="241"/>
      <c r="DT31" s="241"/>
      <c r="DU31" s="241"/>
      <c r="DV31" s="241"/>
      <c r="DW31" s="241"/>
      <c r="DX31" s="241"/>
      <c r="DY31" s="241"/>
      <c r="DZ31" s="241"/>
      <c r="EA31" s="241"/>
      <c r="EB31" s="241"/>
      <c r="EC31" s="241"/>
      <c r="ED31" s="241"/>
      <c r="EE31" s="241"/>
      <c r="EF31" s="241"/>
      <c r="EG31" s="241"/>
      <c r="EH31" s="241"/>
      <c r="EI31" s="241"/>
      <c r="EJ31" s="241"/>
      <c r="EK31" s="241"/>
      <c r="EL31" s="241"/>
      <c r="EM31" s="241"/>
      <c r="EN31" s="241"/>
      <c r="EO31" s="241"/>
      <c r="EP31" s="241"/>
      <c r="EQ31" s="241"/>
      <c r="ER31" s="241"/>
      <c r="ES31" s="241"/>
      <c r="ET31" s="241"/>
      <c r="EU31" s="241"/>
      <c r="EV31" s="241"/>
      <c r="EW31" s="241"/>
      <c r="EX31" s="241"/>
      <c r="EY31" s="241"/>
      <c r="EZ31" s="241"/>
      <c r="FA31" s="241"/>
      <c r="FB31" s="241"/>
      <c r="FC31" s="241"/>
      <c r="FD31" s="241"/>
      <c r="FE31" s="241"/>
      <c r="FF31" s="241"/>
      <c r="FG31" s="241"/>
      <c r="FH31" s="241"/>
      <c r="FI31" s="241"/>
      <c r="FJ31" s="241"/>
      <c r="FK31" s="241"/>
      <c r="FL31" s="241"/>
      <c r="FM31" s="241"/>
      <c r="FN31" s="241"/>
      <c r="FO31" s="241"/>
      <c r="FP31" s="241"/>
      <c r="FQ31" s="241"/>
      <c r="FR31" s="241"/>
      <c r="FS31" s="241"/>
      <c r="FT31" s="241"/>
      <c r="FU31" s="241"/>
      <c r="FV31" s="241"/>
      <c r="FW31" s="241"/>
      <c r="FX31" s="241"/>
      <c r="FY31" s="241"/>
      <c r="FZ31" s="241"/>
      <c r="GA31" s="241"/>
      <c r="GB31" s="241"/>
      <c r="GC31" s="241"/>
      <c r="GD31" s="241"/>
      <c r="GE31" s="241"/>
      <c r="GF31" s="241"/>
      <c r="GG31" s="241"/>
      <c r="GH31" s="241"/>
      <c r="GI31" s="241"/>
      <c r="GJ31" s="241"/>
      <c r="GK31" s="241"/>
      <c r="GL31" s="241"/>
      <c r="GM31" s="241"/>
      <c r="GN31" s="241"/>
      <c r="GO31" s="241"/>
      <c r="GP31" s="241"/>
      <c r="GQ31" s="241"/>
      <c r="GR31" s="241"/>
      <c r="GS31" s="241"/>
      <c r="GT31" s="241"/>
      <c r="GU31" s="241"/>
      <c r="GV31" s="241"/>
      <c r="GW31" s="241"/>
      <c r="GX31" s="241"/>
      <c r="GY31" s="241"/>
      <c r="GZ31" s="241"/>
      <c r="HA31" s="241"/>
      <c r="HB31" s="241"/>
      <c r="HC31" s="241"/>
      <c r="HD31" s="241"/>
      <c r="HE31" s="241"/>
      <c r="HF31" s="241"/>
      <c r="HG31" s="241"/>
      <c r="HH31" s="241"/>
      <c r="HI31" s="241"/>
      <c r="HJ31" s="241"/>
      <c r="HK31" s="241"/>
      <c r="HL31" s="241"/>
      <c r="HM31" s="241"/>
      <c r="HN31" s="241"/>
      <c r="HO31" s="241"/>
      <c r="HP31" s="241"/>
      <c r="HQ31" s="241"/>
      <c r="HR31" s="241"/>
      <c r="HS31" s="241"/>
      <c r="HT31" s="241"/>
      <c r="HU31" s="241"/>
      <c r="HV31" s="241"/>
      <c r="HW31" s="241"/>
      <c r="HX31" s="241"/>
      <c r="HY31" s="241"/>
      <c r="HZ31" s="241"/>
      <c r="IA31" s="241"/>
      <c r="IB31" s="241"/>
      <c r="IC31" s="241"/>
      <c r="ID31" s="241"/>
      <c r="IE31" s="241"/>
      <c r="IF31" s="241"/>
      <c r="IG31" s="241"/>
      <c r="IH31" s="241"/>
      <c r="II31" s="241"/>
      <c r="IJ31" s="241"/>
      <c r="IK31" s="241"/>
      <c r="IL31" s="241"/>
      <c r="IM31" s="241"/>
      <c r="IN31" s="241"/>
      <c r="IO31" s="241"/>
      <c r="IP31" s="241"/>
      <c r="IQ31" s="241"/>
      <c r="IR31" s="241"/>
      <c r="IS31" s="241"/>
      <c r="IT31" s="241"/>
      <c r="IU31" s="241"/>
      <c r="IV31" s="241"/>
      <c r="IW31" s="241"/>
      <c r="IX31" s="241"/>
      <c r="IY31" s="241"/>
      <c r="IZ31" s="241"/>
      <c r="JA31" s="241"/>
      <c r="JB31" s="241"/>
      <c r="JC31" s="241"/>
      <c r="JD31" s="241"/>
      <c r="JE31" s="241"/>
      <c r="JF31" s="241"/>
      <c r="JG31" s="241"/>
      <c r="JH31" s="241"/>
      <c r="JI31" s="241"/>
      <c r="JJ31" s="241"/>
      <c r="JK31" s="241"/>
      <c r="JL31" s="241"/>
      <c r="JM31" s="241"/>
      <c r="JN31" s="241"/>
      <c r="JO31" s="241"/>
      <c r="JP31" s="241"/>
      <c r="JQ31" s="241"/>
      <c r="JR31" s="241"/>
      <c r="JS31" s="241"/>
      <c r="JT31" s="241"/>
      <c r="JU31" s="241"/>
      <c r="JV31" s="241"/>
      <c r="JW31" s="241"/>
      <c r="JX31" s="241"/>
      <c r="JY31" s="241"/>
      <c r="JZ31" s="241"/>
      <c r="KA31" s="241"/>
      <c r="KB31" s="241"/>
      <c r="KC31" s="241"/>
      <c r="KD31" s="241"/>
      <c r="KE31" s="241"/>
      <c r="KF31" s="241"/>
      <c r="KG31" s="241"/>
      <c r="KH31" s="241"/>
      <c r="KI31" s="241"/>
      <c r="KJ31" s="241"/>
      <c r="KK31" s="241"/>
      <c r="KL31" s="241"/>
      <c r="KM31" s="241"/>
      <c r="KN31" s="241"/>
      <c r="KO31" s="241"/>
      <c r="KP31" s="241"/>
      <c r="KQ31" s="241"/>
      <c r="KR31" s="241"/>
      <c r="KS31" s="241"/>
      <c r="KT31" s="241"/>
      <c r="KU31" s="241"/>
      <c r="KV31" s="241"/>
      <c r="KW31" s="241"/>
      <c r="KX31" s="241"/>
      <c r="KY31" s="241"/>
      <c r="KZ31" s="241"/>
      <c r="LA31" s="241"/>
      <c r="LB31" s="241"/>
      <c r="LC31" s="241"/>
      <c r="LD31" s="241"/>
      <c r="LE31" s="241"/>
      <c r="LF31" s="241"/>
      <c r="LG31" s="241">
        <v>49565206</v>
      </c>
      <c r="LH31" s="241">
        <v>49565206</v>
      </c>
      <c r="LI31" s="241"/>
      <c r="LJ31" s="241"/>
      <c r="LK31" s="241"/>
      <c r="LL31" s="241"/>
      <c r="LM31" s="241"/>
      <c r="LN31" s="241"/>
      <c r="LO31" s="241"/>
      <c r="LP31" s="241"/>
      <c r="LQ31" s="241"/>
      <c r="LR31" s="241"/>
      <c r="LS31" s="241"/>
      <c r="LT31" s="241"/>
      <c r="LU31" s="241"/>
      <c r="LV31" s="241"/>
      <c r="LW31" s="241"/>
      <c r="LX31" s="241"/>
      <c r="LY31" s="241"/>
      <c r="LZ31" s="241"/>
      <c r="MA31" s="241"/>
      <c r="MB31" s="241"/>
      <c r="MC31" s="241"/>
      <c r="MD31" s="241"/>
      <c r="ME31" s="241">
        <v>4690003</v>
      </c>
      <c r="MF31" s="241">
        <v>4690003</v>
      </c>
      <c r="MG31" s="241"/>
      <c r="MH31" s="241"/>
      <c r="MI31" s="241"/>
      <c r="MJ31" s="241"/>
      <c r="MK31" s="241"/>
      <c r="ML31" s="241"/>
      <c r="MM31" s="241"/>
      <c r="MN31" s="241"/>
      <c r="MO31" s="241"/>
      <c r="MP31" s="241"/>
      <c r="MQ31" s="241"/>
      <c r="MR31" s="241"/>
      <c r="MS31" s="241"/>
      <c r="MT31" s="241"/>
      <c r="MU31" s="241"/>
      <c r="MV31" s="241"/>
      <c r="MW31" s="241"/>
      <c r="MX31" s="241"/>
      <c r="MY31" s="663">
        <f t="shared" si="0"/>
        <v>54255209</v>
      </c>
      <c r="MZ31" s="663">
        <f t="shared" si="1"/>
        <v>54255209</v>
      </c>
      <c r="NA31" s="663">
        <f t="shared" si="2"/>
        <v>0</v>
      </c>
      <c r="NB31" s="663">
        <f t="shared" si="3"/>
        <v>0</v>
      </c>
      <c r="NC31" s="666"/>
    </row>
    <row r="32" spans="1:369" ht="21.75" customHeight="1" x14ac:dyDescent="0.25">
      <c r="A32" s="208" t="s">
        <v>265</v>
      </c>
      <c r="B32" s="214" t="s">
        <v>222</v>
      </c>
      <c r="C32" s="221" t="s">
        <v>214</v>
      </c>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1"/>
      <c r="AC32" s="241"/>
      <c r="AD32" s="241"/>
      <c r="AE32" s="241"/>
      <c r="AF32" s="241"/>
      <c r="AG32" s="241"/>
      <c r="AH32" s="241"/>
      <c r="AI32" s="241"/>
      <c r="AJ32" s="241"/>
      <c r="AK32" s="241"/>
      <c r="AL32" s="241"/>
      <c r="AM32" s="241"/>
      <c r="AN32" s="241"/>
      <c r="AO32" s="241">
        <v>188146</v>
      </c>
      <c r="AP32" s="241">
        <v>188146</v>
      </c>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c r="CZ32" s="241"/>
      <c r="DA32" s="241"/>
      <c r="DB32" s="241"/>
      <c r="DC32" s="241"/>
      <c r="DD32" s="241"/>
      <c r="DE32" s="241"/>
      <c r="DF32" s="241"/>
      <c r="DG32" s="241"/>
      <c r="DH32" s="241"/>
      <c r="DI32" s="241"/>
      <c r="DJ32" s="241"/>
      <c r="DK32" s="241"/>
      <c r="DL32" s="241"/>
      <c r="DM32" s="241"/>
      <c r="DN32" s="241"/>
      <c r="DO32" s="241"/>
      <c r="DP32" s="241"/>
      <c r="DQ32" s="241"/>
      <c r="DR32" s="241"/>
      <c r="DS32" s="241"/>
      <c r="DT32" s="241"/>
      <c r="DU32" s="241"/>
      <c r="DV32" s="241"/>
      <c r="DW32" s="241"/>
      <c r="DX32" s="241"/>
      <c r="DY32" s="241"/>
      <c r="DZ32" s="241"/>
      <c r="EA32" s="241"/>
      <c r="EB32" s="241"/>
      <c r="EC32" s="241"/>
      <c r="ED32" s="241"/>
      <c r="EE32" s="241"/>
      <c r="EF32" s="241"/>
      <c r="EG32" s="241"/>
      <c r="EH32" s="241"/>
      <c r="EI32" s="241"/>
      <c r="EJ32" s="241"/>
      <c r="EK32" s="241"/>
      <c r="EL32" s="241"/>
      <c r="EM32" s="241"/>
      <c r="EN32" s="241"/>
      <c r="EO32" s="241"/>
      <c r="EP32" s="241"/>
      <c r="EQ32" s="241"/>
      <c r="ER32" s="241"/>
      <c r="ES32" s="241"/>
      <c r="ET32" s="241"/>
      <c r="EU32" s="241"/>
      <c r="EV32" s="241"/>
      <c r="EW32" s="241"/>
      <c r="EX32" s="241"/>
      <c r="EY32" s="241"/>
      <c r="EZ32" s="241"/>
      <c r="FA32" s="241"/>
      <c r="FB32" s="241"/>
      <c r="FC32" s="241"/>
      <c r="FD32" s="241"/>
      <c r="FE32" s="241"/>
      <c r="FF32" s="241"/>
      <c r="FG32" s="241"/>
      <c r="FH32" s="241"/>
      <c r="FI32" s="241"/>
      <c r="FJ32" s="241"/>
      <c r="FK32" s="241"/>
      <c r="FL32" s="241"/>
      <c r="FM32" s="241"/>
      <c r="FN32" s="241"/>
      <c r="FO32" s="241"/>
      <c r="FP32" s="241"/>
      <c r="FQ32" s="241"/>
      <c r="FR32" s="241"/>
      <c r="FS32" s="241"/>
      <c r="FT32" s="241"/>
      <c r="FU32" s="241"/>
      <c r="FV32" s="241"/>
      <c r="FW32" s="241"/>
      <c r="FX32" s="241"/>
      <c r="FY32" s="241"/>
      <c r="FZ32" s="241"/>
      <c r="GA32" s="241"/>
      <c r="GB32" s="241"/>
      <c r="GC32" s="241"/>
      <c r="GD32" s="241"/>
      <c r="GE32" s="241"/>
      <c r="GF32" s="241"/>
      <c r="GG32" s="241"/>
      <c r="GH32" s="241"/>
      <c r="GI32" s="241"/>
      <c r="GJ32" s="241"/>
      <c r="GK32" s="241"/>
      <c r="GL32" s="241"/>
      <c r="GM32" s="241"/>
      <c r="GN32" s="241"/>
      <c r="GO32" s="241"/>
      <c r="GP32" s="241"/>
      <c r="GQ32" s="241"/>
      <c r="GR32" s="241"/>
      <c r="GS32" s="241"/>
      <c r="GT32" s="241"/>
      <c r="GU32" s="241"/>
      <c r="GV32" s="241"/>
      <c r="GW32" s="241"/>
      <c r="GX32" s="241"/>
      <c r="GY32" s="241"/>
      <c r="GZ32" s="241"/>
      <c r="HA32" s="241"/>
      <c r="HB32" s="241"/>
      <c r="HC32" s="241"/>
      <c r="HD32" s="241"/>
      <c r="HE32" s="241"/>
      <c r="HF32" s="241"/>
      <c r="HG32" s="241"/>
      <c r="HH32" s="241"/>
      <c r="HI32" s="241"/>
      <c r="HJ32" s="241"/>
      <c r="HK32" s="241"/>
      <c r="HL32" s="241"/>
      <c r="HM32" s="241"/>
      <c r="HN32" s="241"/>
      <c r="HO32" s="241"/>
      <c r="HP32" s="241"/>
      <c r="HQ32" s="241"/>
      <c r="HR32" s="241"/>
      <c r="HS32" s="241"/>
      <c r="HT32" s="241"/>
      <c r="HU32" s="241"/>
      <c r="HV32" s="241"/>
      <c r="HW32" s="241"/>
      <c r="HX32" s="241"/>
      <c r="HY32" s="241"/>
      <c r="HZ32" s="241"/>
      <c r="IA32" s="241"/>
      <c r="IB32" s="241"/>
      <c r="IC32" s="241"/>
      <c r="ID32" s="241"/>
      <c r="IE32" s="241"/>
      <c r="IF32" s="241"/>
      <c r="IG32" s="241"/>
      <c r="IH32" s="241"/>
      <c r="II32" s="241"/>
      <c r="IJ32" s="241"/>
      <c r="IK32" s="241"/>
      <c r="IL32" s="241"/>
      <c r="IM32" s="241"/>
      <c r="IN32" s="241"/>
      <c r="IO32" s="241"/>
      <c r="IP32" s="241"/>
      <c r="IQ32" s="241"/>
      <c r="IR32" s="241"/>
      <c r="IS32" s="241"/>
      <c r="IT32" s="241"/>
      <c r="IU32" s="241"/>
      <c r="IV32" s="241"/>
      <c r="IW32" s="241"/>
      <c r="IX32" s="241"/>
      <c r="IY32" s="241"/>
      <c r="IZ32" s="241"/>
      <c r="JA32" s="241"/>
      <c r="JB32" s="241"/>
      <c r="JC32" s="241"/>
      <c r="JD32" s="241"/>
      <c r="JE32" s="241"/>
      <c r="JF32" s="241"/>
      <c r="JG32" s="241"/>
      <c r="JH32" s="241"/>
      <c r="JI32" s="241"/>
      <c r="JJ32" s="241"/>
      <c r="JK32" s="241"/>
      <c r="JL32" s="241"/>
      <c r="JM32" s="241"/>
      <c r="JN32" s="241"/>
      <c r="JO32" s="241"/>
      <c r="JP32" s="241"/>
      <c r="JQ32" s="241"/>
      <c r="JR32" s="241"/>
      <c r="JS32" s="241"/>
      <c r="JT32" s="241"/>
      <c r="JU32" s="241"/>
      <c r="JV32" s="241"/>
      <c r="JW32" s="241"/>
      <c r="JX32" s="241"/>
      <c r="JY32" s="241"/>
      <c r="JZ32" s="241"/>
      <c r="KA32" s="241"/>
      <c r="KB32" s="241"/>
      <c r="KC32" s="241"/>
      <c r="KD32" s="241"/>
      <c r="KE32" s="241"/>
      <c r="KF32" s="241"/>
      <c r="KG32" s="241"/>
      <c r="KH32" s="241"/>
      <c r="KI32" s="241"/>
      <c r="KJ32" s="241"/>
      <c r="KK32" s="241"/>
      <c r="KL32" s="241"/>
      <c r="KM32" s="241"/>
      <c r="KN32" s="241"/>
      <c r="KO32" s="241"/>
      <c r="KP32" s="241"/>
      <c r="KQ32" s="241"/>
      <c r="KR32" s="241"/>
      <c r="KS32" s="241"/>
      <c r="KT32" s="241"/>
      <c r="KU32" s="241"/>
      <c r="KV32" s="241"/>
      <c r="KW32" s="241"/>
      <c r="KX32" s="241"/>
      <c r="KY32" s="241"/>
      <c r="KZ32" s="241"/>
      <c r="LA32" s="241"/>
      <c r="LB32" s="241"/>
      <c r="LC32" s="241"/>
      <c r="LD32" s="241"/>
      <c r="LE32" s="241"/>
      <c r="LF32" s="241"/>
      <c r="LG32" s="241"/>
      <c r="LH32" s="241"/>
      <c r="LI32" s="241"/>
      <c r="LJ32" s="241"/>
      <c r="LK32" s="241"/>
      <c r="LL32" s="241"/>
      <c r="LM32" s="241"/>
      <c r="LN32" s="241"/>
      <c r="LO32" s="241"/>
      <c r="LP32" s="241"/>
      <c r="LQ32" s="241"/>
      <c r="LR32" s="241"/>
      <c r="LS32" s="241"/>
      <c r="LT32" s="241"/>
      <c r="LU32" s="241"/>
      <c r="LV32" s="241"/>
      <c r="LW32" s="241"/>
      <c r="LX32" s="241"/>
      <c r="LY32" s="241"/>
      <c r="LZ32" s="241"/>
      <c r="MA32" s="241"/>
      <c r="MB32" s="241"/>
      <c r="MC32" s="241"/>
      <c r="MD32" s="241"/>
      <c r="ME32" s="241"/>
      <c r="MF32" s="241"/>
      <c r="MG32" s="241"/>
      <c r="MH32" s="241"/>
      <c r="MI32" s="241"/>
      <c r="MJ32" s="241"/>
      <c r="MK32" s="241"/>
      <c r="ML32" s="241"/>
      <c r="MM32" s="241"/>
      <c r="MN32" s="241"/>
      <c r="MO32" s="241"/>
      <c r="MP32" s="241"/>
      <c r="MQ32" s="241"/>
      <c r="MR32" s="241"/>
      <c r="MS32" s="241"/>
      <c r="MT32" s="241"/>
      <c r="MU32" s="241"/>
      <c r="MV32" s="241"/>
      <c r="MW32" s="241"/>
      <c r="MX32" s="241"/>
      <c r="MY32" s="663">
        <f t="shared" si="0"/>
        <v>188146</v>
      </c>
      <c r="MZ32" s="663">
        <f t="shared" si="1"/>
        <v>188146</v>
      </c>
      <c r="NA32" s="663">
        <f t="shared" si="2"/>
        <v>0</v>
      </c>
      <c r="NB32" s="663">
        <f t="shared" si="3"/>
        <v>0</v>
      </c>
      <c r="NC32" s="666"/>
    </row>
    <row r="33" spans="1:367" ht="21.75" customHeight="1" x14ac:dyDescent="0.25">
      <c r="A33" s="208" t="s">
        <v>266</v>
      </c>
      <c r="B33" s="217" t="s">
        <v>0</v>
      </c>
      <c r="C33" s="221" t="s">
        <v>215</v>
      </c>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1"/>
      <c r="AC33" s="241"/>
      <c r="AD33" s="241"/>
      <c r="AE33" s="241">
        <v>10000000</v>
      </c>
      <c r="AF33" s="241">
        <v>27091495</v>
      </c>
      <c r="AG33" s="241">
        <v>26808900</v>
      </c>
      <c r="AH33" s="241"/>
      <c r="AI33" s="241"/>
      <c r="AJ33" s="241"/>
      <c r="AK33" s="241">
        <f>176189566+2328805</f>
        <v>178518371</v>
      </c>
      <c r="AL33" s="241">
        <v>187583319</v>
      </c>
      <c r="AM33" s="241">
        <v>187583319</v>
      </c>
      <c r="AN33" s="241"/>
      <c r="AO33" s="241">
        <v>3066140</v>
      </c>
      <c r="AP33" s="241">
        <v>3066140</v>
      </c>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v>1064000</v>
      </c>
      <c r="CU33" s="241">
        <v>1064000</v>
      </c>
      <c r="CV33" s="241"/>
      <c r="CW33" s="241"/>
      <c r="CX33" s="241"/>
      <c r="CY33" s="241"/>
      <c r="CZ33" s="241"/>
      <c r="DA33" s="241"/>
      <c r="DB33" s="241"/>
      <c r="DC33" s="241"/>
      <c r="DD33" s="241"/>
      <c r="DE33" s="241"/>
      <c r="DF33" s="241"/>
      <c r="DG33" s="241"/>
      <c r="DH33" s="241">
        <v>31800000</v>
      </c>
      <c r="DI33" s="241">
        <v>47442750</v>
      </c>
      <c r="DJ33" s="241">
        <v>47442750</v>
      </c>
      <c r="DK33" s="241">
        <v>751000</v>
      </c>
      <c r="DL33" s="241">
        <v>3924118</v>
      </c>
      <c r="DM33" s="241">
        <v>3601224</v>
      </c>
      <c r="DN33" s="241"/>
      <c r="DO33" s="241"/>
      <c r="DP33" s="241"/>
      <c r="DQ33" s="241"/>
      <c r="DR33" s="241"/>
      <c r="DS33" s="241"/>
      <c r="DT33" s="241"/>
      <c r="DU33" s="241"/>
      <c r="DV33" s="241"/>
      <c r="DW33" s="241"/>
      <c r="DX33" s="241"/>
      <c r="DY33" s="241"/>
      <c r="DZ33" s="241"/>
      <c r="EA33" s="241"/>
      <c r="EB33" s="241"/>
      <c r="EC33" s="241"/>
      <c r="ED33" s="241"/>
      <c r="EE33" s="241"/>
      <c r="EF33" s="241"/>
      <c r="EG33" s="241"/>
      <c r="EH33" s="241"/>
      <c r="EI33" s="241">
        <v>13039031</v>
      </c>
      <c r="EJ33" s="241">
        <v>19581035</v>
      </c>
      <c r="EK33" s="241">
        <v>11809435</v>
      </c>
      <c r="EL33" s="241">
        <v>677580</v>
      </c>
      <c r="EM33" s="241">
        <v>2531836</v>
      </c>
      <c r="EN33" s="241">
        <v>692780</v>
      </c>
      <c r="EO33" s="241">
        <v>5280000</v>
      </c>
      <c r="EP33" s="241">
        <v>6092196</v>
      </c>
      <c r="EQ33" s="241">
        <v>6092196</v>
      </c>
      <c r="ER33" s="241">
        <v>43180000</v>
      </c>
      <c r="ES33" s="241">
        <v>48550938</v>
      </c>
      <c r="ET33" s="241">
        <v>48540438</v>
      </c>
      <c r="EU33" s="241"/>
      <c r="EV33" s="241"/>
      <c r="EW33" s="241"/>
      <c r="EX33" s="241">
        <v>7000000</v>
      </c>
      <c r="EY33" s="241">
        <v>8510523</v>
      </c>
      <c r="EZ33" s="241">
        <v>8178543</v>
      </c>
      <c r="FA33" s="241"/>
      <c r="FB33" s="241">
        <v>415500</v>
      </c>
      <c r="FC33" s="241">
        <v>415500</v>
      </c>
      <c r="FD33" s="241"/>
      <c r="FE33" s="241"/>
      <c r="FF33" s="241"/>
      <c r="FG33" s="241">
        <v>10000000</v>
      </c>
      <c r="FH33" s="241">
        <v>18016000</v>
      </c>
      <c r="FI33" s="241">
        <v>16091500</v>
      </c>
      <c r="FJ33" s="241"/>
      <c r="FK33" s="241"/>
      <c r="FL33" s="241"/>
      <c r="FM33" s="241"/>
      <c r="FN33" s="241"/>
      <c r="FO33" s="241"/>
      <c r="FP33" s="241"/>
      <c r="FQ33" s="241"/>
      <c r="FR33" s="241"/>
      <c r="FS33" s="241"/>
      <c r="FT33" s="241"/>
      <c r="FU33" s="241"/>
      <c r="FV33" s="241"/>
      <c r="FW33" s="241"/>
      <c r="FX33" s="241"/>
      <c r="FY33" s="241"/>
      <c r="FZ33" s="241"/>
      <c r="GA33" s="241"/>
      <c r="GB33" s="241"/>
      <c r="GC33" s="241"/>
      <c r="GD33" s="241"/>
      <c r="GE33" s="241"/>
      <c r="GF33" s="241">
        <f>13343023+3602617</f>
        <v>16945640</v>
      </c>
      <c r="GG33" s="241">
        <v>16945640</v>
      </c>
      <c r="GH33" s="241">
        <v>65000000</v>
      </c>
      <c r="GI33" s="241">
        <v>0</v>
      </c>
      <c r="GJ33" s="241"/>
      <c r="GK33" s="241"/>
      <c r="GL33" s="241"/>
      <c r="GM33" s="241"/>
      <c r="GN33" s="241"/>
      <c r="GO33" s="241">
        <f>51042373+13781441</f>
        <v>64823814</v>
      </c>
      <c r="GP33" s="241">
        <v>64823814</v>
      </c>
      <c r="GQ33" s="241">
        <v>65000000</v>
      </c>
      <c r="GR33" s="241">
        <v>0</v>
      </c>
      <c r="GS33" s="241"/>
      <c r="GT33" s="241"/>
      <c r="GU33" s="241"/>
      <c r="GV33" s="241"/>
      <c r="GW33" s="241"/>
      <c r="GX33" s="241"/>
      <c r="GY33" s="241"/>
      <c r="GZ33" s="241"/>
      <c r="HA33" s="241"/>
      <c r="HB33" s="241"/>
      <c r="HC33" s="241"/>
      <c r="HD33" s="241"/>
      <c r="HE33" s="241"/>
      <c r="HF33" s="241"/>
      <c r="HG33" s="241"/>
      <c r="HH33" s="241"/>
      <c r="HI33" s="241"/>
      <c r="HJ33" s="241"/>
      <c r="HK33" s="241"/>
      <c r="HL33" s="241"/>
      <c r="HM33" s="241"/>
      <c r="HN33" s="241"/>
      <c r="HO33" s="241"/>
      <c r="HP33" s="241"/>
      <c r="HQ33" s="241"/>
      <c r="HR33" s="241"/>
      <c r="HS33" s="241"/>
      <c r="HT33" s="241"/>
      <c r="HU33" s="241"/>
      <c r="HV33" s="241"/>
      <c r="HW33" s="241"/>
      <c r="HX33" s="241"/>
      <c r="HY33" s="241"/>
      <c r="HZ33" s="241"/>
      <c r="IA33" s="241"/>
      <c r="IB33" s="241"/>
      <c r="IC33" s="241"/>
      <c r="ID33" s="241"/>
      <c r="IE33" s="241"/>
      <c r="IF33" s="241"/>
      <c r="IG33" s="241"/>
      <c r="IH33" s="241"/>
      <c r="II33" s="241"/>
      <c r="IJ33" s="241"/>
      <c r="IK33" s="241"/>
      <c r="IL33" s="241"/>
      <c r="IM33" s="241"/>
      <c r="IN33" s="241"/>
      <c r="IO33" s="241"/>
      <c r="IP33" s="241"/>
      <c r="IQ33" s="241"/>
      <c r="IR33" s="241"/>
      <c r="IS33" s="241"/>
      <c r="IT33" s="241"/>
      <c r="IU33" s="241"/>
      <c r="IV33" s="241"/>
      <c r="IW33" s="241"/>
      <c r="IX33" s="241"/>
      <c r="IY33" s="241"/>
      <c r="IZ33" s="241"/>
      <c r="JA33" s="241"/>
      <c r="JB33" s="241"/>
      <c r="JC33" s="241"/>
      <c r="JD33" s="241"/>
      <c r="JE33" s="241"/>
      <c r="JF33" s="241"/>
      <c r="JG33" s="241"/>
      <c r="JH33" s="241"/>
      <c r="JI33" s="241"/>
      <c r="JJ33" s="241"/>
      <c r="JK33" s="241"/>
      <c r="JL33" s="241"/>
      <c r="JM33" s="241"/>
      <c r="JN33" s="241"/>
      <c r="JO33" s="241"/>
      <c r="JP33" s="241"/>
      <c r="JQ33" s="241"/>
      <c r="JR33" s="241"/>
      <c r="JS33" s="241"/>
      <c r="JT33" s="241"/>
      <c r="JU33" s="241"/>
      <c r="JV33" s="241"/>
      <c r="JW33" s="241"/>
      <c r="JX33" s="241"/>
      <c r="JY33" s="241"/>
      <c r="JZ33" s="241"/>
      <c r="KA33" s="241"/>
      <c r="KB33" s="241"/>
      <c r="KC33" s="241"/>
      <c r="KD33" s="241"/>
      <c r="KE33" s="241"/>
      <c r="KF33" s="241"/>
      <c r="KG33" s="241"/>
      <c r="KH33" s="241"/>
      <c r="KI33" s="241"/>
      <c r="KJ33" s="241"/>
      <c r="KK33" s="241"/>
      <c r="KL33" s="241"/>
      <c r="KM33" s="241"/>
      <c r="KN33" s="241"/>
      <c r="KO33" s="241"/>
      <c r="KP33" s="241"/>
      <c r="KQ33" s="241"/>
      <c r="KR33" s="241"/>
      <c r="KS33" s="241"/>
      <c r="KT33" s="241"/>
      <c r="KU33" s="241"/>
      <c r="KV33" s="241"/>
      <c r="KW33" s="241"/>
      <c r="KX33" s="241"/>
      <c r="KY33" s="241"/>
      <c r="KZ33" s="241"/>
      <c r="LA33" s="241"/>
      <c r="LB33" s="241"/>
      <c r="LC33" s="241"/>
      <c r="LD33" s="241"/>
      <c r="LE33" s="241"/>
      <c r="LF33" s="241"/>
      <c r="LG33" s="241"/>
      <c r="LH33" s="241"/>
      <c r="LI33" s="241"/>
      <c r="LJ33" s="241"/>
      <c r="LK33" s="241"/>
      <c r="LL33" s="241"/>
      <c r="LM33" s="241"/>
      <c r="LN33" s="241"/>
      <c r="LO33" s="241"/>
      <c r="LP33" s="241"/>
      <c r="LQ33" s="241"/>
      <c r="LR33" s="241"/>
      <c r="LS33" s="241"/>
      <c r="LT33" s="241"/>
      <c r="LU33" s="241"/>
      <c r="LV33" s="241"/>
      <c r="LW33" s="241"/>
      <c r="LX33" s="241"/>
      <c r="LY33" s="241"/>
      <c r="LZ33" s="241"/>
      <c r="MA33" s="241"/>
      <c r="MB33" s="241"/>
      <c r="MC33" s="241"/>
      <c r="MD33" s="241"/>
      <c r="ME33" s="241"/>
      <c r="MF33" s="241"/>
      <c r="MG33" s="241"/>
      <c r="MH33" s="241"/>
      <c r="MI33" s="241"/>
      <c r="MJ33" s="241"/>
      <c r="MK33" s="241"/>
      <c r="ML33" s="241"/>
      <c r="MM33" s="241"/>
      <c r="MN33" s="241"/>
      <c r="MO33" s="241"/>
      <c r="MP33" s="241"/>
      <c r="MQ33" s="241"/>
      <c r="MR33" s="241"/>
      <c r="MS33" s="241"/>
      <c r="MT33" s="241"/>
      <c r="MU33" s="241"/>
      <c r="MV33" s="241"/>
      <c r="MW33" s="241"/>
      <c r="MX33" s="241"/>
      <c r="MY33" s="663">
        <f t="shared" si="0"/>
        <v>241113962</v>
      </c>
      <c r="MZ33" s="663">
        <f t="shared" si="1"/>
        <v>230887317</v>
      </c>
      <c r="NA33" s="663">
        <f t="shared" si="2"/>
        <v>214525342</v>
      </c>
      <c r="NB33" s="663">
        <f t="shared" si="3"/>
        <v>212268862</v>
      </c>
      <c r="NC33" s="666"/>
    </row>
    <row r="34" spans="1:367" ht="21.75" customHeight="1" x14ac:dyDescent="0.25">
      <c r="A34" s="208" t="s">
        <v>267</v>
      </c>
      <c r="B34" s="214" t="s">
        <v>245</v>
      </c>
      <c r="C34" s="221" t="s">
        <v>216</v>
      </c>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1"/>
      <c r="AC34" s="241"/>
      <c r="AD34" s="241"/>
      <c r="AE34" s="241"/>
      <c r="AF34" s="241"/>
      <c r="AG34" s="241"/>
      <c r="AH34" s="241"/>
      <c r="AI34" s="241"/>
      <c r="AJ34" s="241"/>
      <c r="AK34" s="241">
        <f>30000000+681454000+8625203</f>
        <v>720079203</v>
      </c>
      <c r="AL34" s="241">
        <v>741863797</v>
      </c>
      <c r="AM34" s="241">
        <v>741863797</v>
      </c>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c r="CZ34" s="241"/>
      <c r="DA34" s="241"/>
      <c r="DB34" s="241"/>
      <c r="DC34" s="241"/>
      <c r="DD34" s="241"/>
      <c r="DE34" s="241"/>
      <c r="DF34" s="241"/>
      <c r="DG34" s="241"/>
      <c r="DH34" s="241"/>
      <c r="DI34" s="241"/>
      <c r="DJ34" s="241"/>
      <c r="DK34" s="241"/>
      <c r="DL34" s="241"/>
      <c r="DM34" s="241"/>
      <c r="DN34" s="241"/>
      <c r="DO34" s="241"/>
      <c r="DP34" s="241"/>
      <c r="DQ34" s="241"/>
      <c r="DR34" s="241"/>
      <c r="DS34" s="241"/>
      <c r="DT34" s="241"/>
      <c r="DU34" s="241"/>
      <c r="DV34" s="241"/>
      <c r="DW34" s="241"/>
      <c r="DX34" s="241"/>
      <c r="DY34" s="241"/>
      <c r="DZ34" s="241"/>
      <c r="EA34" s="241"/>
      <c r="EB34" s="241"/>
      <c r="EC34" s="241"/>
      <c r="ED34" s="241"/>
      <c r="EE34" s="241"/>
      <c r="EF34" s="241"/>
      <c r="EG34" s="241"/>
      <c r="EH34" s="241"/>
      <c r="EI34" s="241"/>
      <c r="EJ34" s="241"/>
      <c r="EK34" s="241"/>
      <c r="EL34" s="241"/>
      <c r="EM34" s="241"/>
      <c r="EN34" s="241"/>
      <c r="EO34" s="241"/>
      <c r="EP34" s="241"/>
      <c r="EQ34" s="241"/>
      <c r="ER34" s="241"/>
      <c r="ES34" s="241"/>
      <c r="ET34" s="241"/>
      <c r="EU34" s="241"/>
      <c r="EV34" s="241"/>
      <c r="EW34" s="241"/>
      <c r="EX34" s="241"/>
      <c r="EY34" s="241"/>
      <c r="EZ34" s="241"/>
      <c r="FA34" s="241"/>
      <c r="FB34" s="241"/>
      <c r="FC34" s="241"/>
      <c r="FD34" s="241"/>
      <c r="FE34" s="241"/>
      <c r="FF34" s="241"/>
      <c r="FG34" s="240"/>
      <c r="FH34" s="240"/>
      <c r="FI34" s="240"/>
      <c r="FJ34" s="241"/>
      <c r="FK34" s="241"/>
      <c r="FL34" s="241"/>
      <c r="FM34" s="241"/>
      <c r="FN34" s="241"/>
      <c r="FO34" s="241"/>
      <c r="FP34" s="241"/>
      <c r="FQ34" s="241"/>
      <c r="FR34" s="241"/>
      <c r="FS34" s="241"/>
      <c r="FT34" s="241"/>
      <c r="FU34" s="241"/>
      <c r="FV34" s="241"/>
      <c r="FW34" s="241"/>
      <c r="FX34" s="241"/>
      <c r="FY34" s="241"/>
      <c r="FZ34" s="241"/>
      <c r="GA34" s="241"/>
      <c r="GB34" s="241"/>
      <c r="GC34" s="241"/>
      <c r="GD34" s="241"/>
      <c r="GE34" s="241"/>
      <c r="GF34" s="241"/>
      <c r="GG34" s="241"/>
      <c r="GH34" s="241"/>
      <c r="GI34" s="241"/>
      <c r="GJ34" s="241"/>
      <c r="GK34" s="241"/>
      <c r="GL34" s="241"/>
      <c r="GM34" s="241"/>
      <c r="GN34" s="241"/>
      <c r="GO34" s="241"/>
      <c r="GP34" s="241"/>
      <c r="GQ34" s="241"/>
      <c r="GR34" s="241"/>
      <c r="GS34" s="241"/>
      <c r="GT34" s="241"/>
      <c r="GU34" s="241"/>
      <c r="GV34" s="241"/>
      <c r="GW34" s="241"/>
      <c r="GX34" s="241"/>
      <c r="GY34" s="241"/>
      <c r="GZ34" s="241"/>
      <c r="HA34" s="241"/>
      <c r="HB34" s="241"/>
      <c r="HC34" s="241"/>
      <c r="HD34" s="241"/>
      <c r="HE34" s="241"/>
      <c r="HF34" s="241"/>
      <c r="HG34" s="241"/>
      <c r="HH34" s="241"/>
      <c r="HI34" s="241"/>
      <c r="HJ34" s="241"/>
      <c r="HK34" s="241"/>
      <c r="HL34" s="241"/>
      <c r="HM34" s="241"/>
      <c r="HN34" s="241"/>
      <c r="HO34" s="241"/>
      <c r="HP34" s="241"/>
      <c r="HQ34" s="241"/>
      <c r="HR34" s="241"/>
      <c r="HS34" s="241"/>
      <c r="HT34" s="241"/>
      <c r="HU34" s="241"/>
      <c r="HV34" s="241"/>
      <c r="HW34" s="241"/>
      <c r="HX34" s="241"/>
      <c r="HY34" s="241"/>
      <c r="HZ34" s="241"/>
      <c r="IA34" s="241"/>
      <c r="IB34" s="241"/>
      <c r="IC34" s="241"/>
      <c r="ID34" s="241"/>
      <c r="IE34" s="241"/>
      <c r="IF34" s="241"/>
      <c r="IG34" s="241"/>
      <c r="IH34" s="241"/>
      <c r="II34" s="241"/>
      <c r="IJ34" s="241"/>
      <c r="IK34" s="241"/>
      <c r="IL34" s="241"/>
      <c r="IM34" s="241"/>
      <c r="IN34" s="241"/>
      <c r="IO34" s="241"/>
      <c r="IP34" s="241"/>
      <c r="IQ34" s="241"/>
      <c r="IR34" s="241"/>
      <c r="IS34" s="241"/>
      <c r="IT34" s="241"/>
      <c r="IU34" s="241"/>
      <c r="IV34" s="241"/>
      <c r="IW34" s="241"/>
      <c r="IX34" s="241"/>
      <c r="IY34" s="241"/>
      <c r="IZ34" s="241"/>
      <c r="JA34" s="241"/>
      <c r="JB34" s="241"/>
      <c r="JC34" s="241"/>
      <c r="JD34" s="241"/>
      <c r="JE34" s="241"/>
      <c r="JF34" s="241"/>
      <c r="JG34" s="241"/>
      <c r="JH34" s="241"/>
      <c r="JI34" s="241"/>
      <c r="JJ34" s="241"/>
      <c r="JK34" s="241"/>
      <c r="JL34" s="241"/>
      <c r="JM34" s="241"/>
      <c r="JN34" s="241"/>
      <c r="JO34" s="241"/>
      <c r="JP34" s="241"/>
      <c r="JQ34" s="241"/>
      <c r="JR34" s="241"/>
      <c r="JS34" s="241"/>
      <c r="JT34" s="241"/>
      <c r="JU34" s="241"/>
      <c r="JV34" s="241"/>
      <c r="JW34" s="241"/>
      <c r="JX34" s="241"/>
      <c r="JY34" s="241"/>
      <c r="JZ34" s="241"/>
      <c r="KA34" s="241"/>
      <c r="KB34" s="241"/>
      <c r="KC34" s="241"/>
      <c r="KD34" s="241"/>
      <c r="KE34" s="241"/>
      <c r="KF34" s="241"/>
      <c r="KG34" s="241"/>
      <c r="KH34" s="241"/>
      <c r="KI34" s="241"/>
      <c r="KJ34" s="241"/>
      <c r="KK34" s="241"/>
      <c r="KL34" s="241"/>
      <c r="KM34" s="241"/>
      <c r="KN34" s="241"/>
      <c r="KO34" s="241"/>
      <c r="KP34" s="241"/>
      <c r="KQ34" s="241"/>
      <c r="KR34" s="241"/>
      <c r="KS34" s="241"/>
      <c r="KT34" s="241"/>
      <c r="KU34" s="241"/>
      <c r="KV34" s="241"/>
      <c r="KW34" s="241"/>
      <c r="KX34" s="241"/>
      <c r="KY34" s="241"/>
      <c r="KZ34" s="241"/>
      <c r="LA34" s="241"/>
      <c r="LB34" s="241"/>
      <c r="LC34" s="241"/>
      <c r="LD34" s="241"/>
      <c r="LE34" s="241"/>
      <c r="LF34" s="241"/>
      <c r="LG34" s="241"/>
      <c r="LH34" s="241"/>
      <c r="LI34" s="241"/>
      <c r="LJ34" s="241"/>
      <c r="LK34" s="241"/>
      <c r="LL34" s="241"/>
      <c r="LM34" s="241"/>
      <c r="LN34" s="241"/>
      <c r="LO34" s="241"/>
      <c r="LP34" s="241"/>
      <c r="LQ34" s="241"/>
      <c r="LR34" s="241"/>
      <c r="LS34" s="241"/>
      <c r="LT34" s="241"/>
      <c r="LU34" s="241"/>
      <c r="LV34" s="241"/>
      <c r="LW34" s="241"/>
      <c r="LX34" s="241"/>
      <c r="LY34" s="241"/>
      <c r="LZ34" s="241"/>
      <c r="MA34" s="241"/>
      <c r="MB34" s="241"/>
      <c r="MC34" s="241"/>
      <c r="MD34" s="241"/>
      <c r="ME34" s="241"/>
      <c r="MF34" s="241"/>
      <c r="MG34" s="241"/>
      <c r="MH34" s="241"/>
      <c r="MI34" s="241"/>
      <c r="MJ34" s="241"/>
      <c r="MK34" s="241"/>
      <c r="ML34" s="241"/>
      <c r="MM34" s="241"/>
      <c r="MN34" s="241"/>
      <c r="MO34" s="241"/>
      <c r="MP34" s="241"/>
      <c r="MQ34" s="241"/>
      <c r="MR34" s="241"/>
      <c r="MS34" s="241"/>
      <c r="MT34" s="241"/>
      <c r="MU34" s="241"/>
      <c r="MV34" s="241"/>
      <c r="MW34" s="241"/>
      <c r="MX34" s="241"/>
      <c r="MY34" s="663">
        <f t="shared" si="0"/>
        <v>0</v>
      </c>
      <c r="MZ34" s="663">
        <f t="shared" si="1"/>
        <v>0</v>
      </c>
      <c r="NA34" s="663">
        <f t="shared" si="2"/>
        <v>741863797</v>
      </c>
      <c r="NB34" s="663">
        <f t="shared" si="3"/>
        <v>741863797</v>
      </c>
      <c r="NC34" s="666"/>
    </row>
    <row r="35" spans="1:367" ht="21.75" customHeight="1" x14ac:dyDescent="0.25">
      <c r="A35" s="208" t="s">
        <v>268</v>
      </c>
      <c r="B35" s="214" t="s">
        <v>240</v>
      </c>
      <c r="C35" s="221" t="s">
        <v>217</v>
      </c>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c r="DV35" s="241"/>
      <c r="DW35" s="241"/>
      <c r="DX35" s="241"/>
      <c r="DY35" s="241"/>
      <c r="DZ35" s="241"/>
      <c r="EA35" s="241"/>
      <c r="EB35" s="241"/>
      <c r="EC35" s="241"/>
      <c r="ED35" s="241"/>
      <c r="EE35" s="241"/>
      <c r="EF35" s="241"/>
      <c r="EG35" s="241"/>
      <c r="EH35" s="241"/>
      <c r="EI35" s="241"/>
      <c r="EJ35" s="241"/>
      <c r="EK35" s="241"/>
      <c r="EL35" s="241"/>
      <c r="EM35" s="241"/>
      <c r="EN35" s="241"/>
      <c r="EO35" s="241"/>
      <c r="EP35" s="241"/>
      <c r="EQ35" s="241"/>
      <c r="ER35" s="241"/>
      <c r="ES35" s="241"/>
      <c r="ET35" s="241"/>
      <c r="EU35" s="241"/>
      <c r="EV35" s="241"/>
      <c r="EW35" s="241"/>
      <c r="EX35" s="241"/>
      <c r="EY35" s="241"/>
      <c r="EZ35" s="241"/>
      <c r="FA35" s="241"/>
      <c r="FB35" s="241"/>
      <c r="FC35" s="241"/>
      <c r="FD35" s="241"/>
      <c r="FE35" s="241"/>
      <c r="FF35" s="241"/>
      <c r="FG35" s="241"/>
      <c r="FH35" s="241"/>
      <c r="FI35" s="241"/>
      <c r="FJ35" s="241"/>
      <c r="FK35" s="241"/>
      <c r="FL35" s="241"/>
      <c r="FM35" s="241"/>
      <c r="FN35" s="241"/>
      <c r="FO35" s="241"/>
      <c r="FP35" s="241"/>
      <c r="FQ35" s="241"/>
      <c r="FR35" s="241"/>
      <c r="FS35" s="241"/>
      <c r="FT35" s="241"/>
      <c r="FU35" s="241"/>
      <c r="FV35" s="241"/>
      <c r="FW35" s="241"/>
      <c r="FX35" s="241"/>
      <c r="FY35" s="241"/>
      <c r="FZ35" s="241"/>
      <c r="GA35" s="241"/>
      <c r="GB35" s="241"/>
      <c r="GC35" s="241"/>
      <c r="GD35" s="241"/>
      <c r="GE35" s="241"/>
      <c r="GF35" s="241"/>
      <c r="GG35" s="241"/>
      <c r="GH35" s="241"/>
      <c r="GI35" s="241"/>
      <c r="GJ35" s="241"/>
      <c r="GK35" s="241"/>
      <c r="GL35" s="241"/>
      <c r="GM35" s="241"/>
      <c r="GN35" s="241"/>
      <c r="GO35" s="241"/>
      <c r="GP35" s="241"/>
      <c r="GQ35" s="241"/>
      <c r="GR35" s="241"/>
      <c r="GS35" s="241"/>
      <c r="GT35" s="241"/>
      <c r="GU35" s="241"/>
      <c r="GV35" s="241"/>
      <c r="GW35" s="241"/>
      <c r="GX35" s="241"/>
      <c r="GY35" s="241"/>
      <c r="GZ35" s="241"/>
      <c r="HA35" s="241"/>
      <c r="HB35" s="241"/>
      <c r="HC35" s="241"/>
      <c r="HD35" s="241"/>
      <c r="HE35" s="241"/>
      <c r="HF35" s="241"/>
      <c r="HG35" s="241"/>
      <c r="HH35" s="241"/>
      <c r="HI35" s="241"/>
      <c r="HJ35" s="241"/>
      <c r="HK35" s="241"/>
      <c r="HL35" s="241"/>
      <c r="HM35" s="241"/>
      <c r="HN35" s="241"/>
      <c r="HO35" s="241"/>
      <c r="HP35" s="241"/>
      <c r="HQ35" s="241"/>
      <c r="HR35" s="241"/>
      <c r="HS35" s="241"/>
      <c r="HT35" s="241"/>
      <c r="HU35" s="241"/>
      <c r="HV35" s="241"/>
      <c r="HW35" s="241"/>
      <c r="HX35" s="241"/>
      <c r="HY35" s="241"/>
      <c r="HZ35" s="241"/>
      <c r="IA35" s="241"/>
      <c r="IB35" s="241"/>
      <c r="IC35" s="241"/>
      <c r="ID35" s="241"/>
      <c r="IE35" s="241"/>
      <c r="IF35" s="241"/>
      <c r="IG35" s="241"/>
      <c r="IH35" s="241"/>
      <c r="II35" s="241"/>
      <c r="IJ35" s="241"/>
      <c r="IK35" s="241"/>
      <c r="IL35" s="241"/>
      <c r="IM35" s="241"/>
      <c r="IN35" s="241"/>
      <c r="IO35" s="241"/>
      <c r="IP35" s="241"/>
      <c r="IQ35" s="241"/>
      <c r="IR35" s="241"/>
      <c r="IS35" s="241"/>
      <c r="IT35" s="241"/>
      <c r="IU35" s="241"/>
      <c r="IV35" s="241"/>
      <c r="IW35" s="241"/>
      <c r="IX35" s="241"/>
      <c r="IY35" s="241"/>
      <c r="IZ35" s="241"/>
      <c r="JA35" s="241"/>
      <c r="JB35" s="241"/>
      <c r="JC35" s="241"/>
      <c r="JD35" s="241"/>
      <c r="JE35" s="241"/>
      <c r="JF35" s="241"/>
      <c r="JG35" s="241"/>
      <c r="JH35" s="241"/>
      <c r="JI35" s="241"/>
      <c r="JJ35" s="241"/>
      <c r="JK35" s="241"/>
      <c r="JL35" s="241"/>
      <c r="JM35" s="241"/>
      <c r="JN35" s="241"/>
      <c r="JO35" s="241"/>
      <c r="JP35" s="241"/>
      <c r="JQ35" s="241"/>
      <c r="JR35" s="241"/>
      <c r="JS35" s="241"/>
      <c r="JT35" s="241"/>
      <c r="JU35" s="241"/>
      <c r="JV35" s="241"/>
      <c r="JW35" s="241"/>
      <c r="JX35" s="241"/>
      <c r="JY35" s="241"/>
      <c r="JZ35" s="241"/>
      <c r="KA35" s="241"/>
      <c r="KB35" s="241"/>
      <c r="KC35" s="241"/>
      <c r="KD35" s="241"/>
      <c r="KE35" s="241"/>
      <c r="KF35" s="241"/>
      <c r="KG35" s="241"/>
      <c r="KH35" s="241"/>
      <c r="KI35" s="241"/>
      <c r="KJ35" s="241"/>
      <c r="KK35" s="241"/>
      <c r="KL35" s="241"/>
      <c r="KM35" s="241"/>
      <c r="KN35" s="241"/>
      <c r="KO35" s="241"/>
      <c r="KP35" s="241"/>
      <c r="KQ35" s="241"/>
      <c r="KR35" s="241"/>
      <c r="KS35" s="241"/>
      <c r="KT35" s="241"/>
      <c r="KU35" s="241"/>
      <c r="KV35" s="241"/>
      <c r="KW35" s="241"/>
      <c r="KX35" s="241"/>
      <c r="KY35" s="241"/>
      <c r="KZ35" s="241"/>
      <c r="LA35" s="241"/>
      <c r="LB35" s="241"/>
      <c r="LC35" s="241"/>
      <c r="LD35" s="241"/>
      <c r="LE35" s="241"/>
      <c r="LF35" s="241"/>
      <c r="LG35" s="241"/>
      <c r="LH35" s="241"/>
      <c r="LI35" s="241"/>
      <c r="LJ35" s="241"/>
      <c r="LK35" s="241"/>
      <c r="LL35" s="241"/>
      <c r="LM35" s="241"/>
      <c r="LN35" s="241"/>
      <c r="LO35" s="241"/>
      <c r="LP35" s="241"/>
      <c r="LQ35" s="241"/>
      <c r="LR35" s="241"/>
      <c r="LS35" s="241"/>
      <c r="LT35" s="241"/>
      <c r="LU35" s="241"/>
      <c r="LV35" s="241"/>
      <c r="LW35" s="241"/>
      <c r="LX35" s="241"/>
      <c r="LY35" s="241"/>
      <c r="LZ35" s="241"/>
      <c r="MA35" s="241"/>
      <c r="MB35" s="241"/>
      <c r="MC35" s="241"/>
      <c r="MD35" s="241"/>
      <c r="ME35" s="241"/>
      <c r="MF35" s="241"/>
      <c r="MG35" s="241"/>
      <c r="MH35" s="241"/>
      <c r="MI35" s="241"/>
      <c r="MJ35" s="241"/>
      <c r="MK35" s="241"/>
      <c r="ML35" s="241"/>
      <c r="MM35" s="241"/>
      <c r="MN35" s="241"/>
      <c r="MO35" s="241"/>
      <c r="MP35" s="241"/>
      <c r="MQ35" s="241"/>
      <c r="MR35" s="241"/>
      <c r="MS35" s="241"/>
      <c r="MT35" s="241"/>
      <c r="MU35" s="241"/>
      <c r="MV35" s="241"/>
      <c r="MW35" s="241"/>
      <c r="MX35" s="241"/>
      <c r="MY35" s="663">
        <f t="shared" si="0"/>
        <v>0</v>
      </c>
      <c r="MZ35" s="663">
        <f t="shared" si="1"/>
        <v>0</v>
      </c>
      <c r="NA35" s="663">
        <f t="shared" si="2"/>
        <v>0</v>
      </c>
      <c r="NB35" s="663">
        <f t="shared" si="3"/>
        <v>0</v>
      </c>
      <c r="NC35" s="666"/>
    </row>
    <row r="36" spans="1:367" ht="21.75" customHeight="1" x14ac:dyDescent="0.25">
      <c r="A36" s="208" t="s">
        <v>269</v>
      </c>
      <c r="B36" s="214" t="s">
        <v>241</v>
      </c>
      <c r="C36" s="221" t="s">
        <v>218</v>
      </c>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1"/>
      <c r="AC36" s="241"/>
      <c r="AD36" s="241"/>
      <c r="AE36" s="241"/>
      <c r="AF36" s="241"/>
      <c r="AG36" s="241"/>
      <c r="AH36" s="241">
        <v>1498800</v>
      </c>
      <c r="AI36" s="241">
        <f>1498800+599400+235100+156250</f>
        <v>2489550</v>
      </c>
      <c r="AJ36" s="241">
        <v>2489550</v>
      </c>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E36" s="241"/>
      <c r="DF36" s="241"/>
      <c r="DG36" s="241"/>
      <c r="DH36" s="241"/>
      <c r="DI36" s="241"/>
      <c r="DJ36" s="241"/>
      <c r="DK36" s="241"/>
      <c r="DL36" s="241"/>
      <c r="DM36" s="241"/>
      <c r="DN36" s="241"/>
      <c r="DO36" s="241"/>
      <c r="DP36" s="241"/>
      <c r="DQ36" s="241"/>
      <c r="DR36" s="241"/>
      <c r="DS36" s="241"/>
      <c r="DT36" s="241"/>
      <c r="DU36" s="241"/>
      <c r="DV36" s="241"/>
      <c r="DW36" s="241"/>
      <c r="DX36" s="241"/>
      <c r="DY36" s="241"/>
      <c r="DZ36" s="241"/>
      <c r="EA36" s="241"/>
      <c r="EB36" s="241"/>
      <c r="EC36" s="241"/>
      <c r="ED36" s="241"/>
      <c r="EE36" s="241"/>
      <c r="EF36" s="241"/>
      <c r="EG36" s="241"/>
      <c r="EH36" s="241"/>
      <c r="EI36" s="241"/>
      <c r="EJ36" s="241"/>
      <c r="EK36" s="241"/>
      <c r="EL36" s="241"/>
      <c r="EM36" s="241"/>
      <c r="EN36" s="241"/>
      <c r="EO36" s="241"/>
      <c r="EP36" s="241"/>
      <c r="EQ36" s="241"/>
      <c r="ER36" s="241"/>
      <c r="ES36" s="241"/>
      <c r="ET36" s="241"/>
      <c r="EU36" s="241"/>
      <c r="EV36" s="241"/>
      <c r="EW36" s="241"/>
      <c r="EX36" s="241"/>
      <c r="EY36" s="241"/>
      <c r="EZ36" s="241"/>
      <c r="FA36" s="241"/>
      <c r="FB36" s="241"/>
      <c r="FC36" s="241"/>
      <c r="FD36" s="241"/>
      <c r="FE36" s="241"/>
      <c r="FF36" s="241"/>
      <c r="FG36" s="241"/>
      <c r="FH36" s="241"/>
      <c r="FI36" s="241"/>
      <c r="FJ36" s="241"/>
      <c r="FK36" s="241"/>
      <c r="FL36" s="241"/>
      <c r="FM36" s="241"/>
      <c r="FN36" s="241"/>
      <c r="FO36" s="241"/>
      <c r="FP36" s="241"/>
      <c r="FQ36" s="241"/>
      <c r="FR36" s="241"/>
      <c r="FS36" s="241"/>
      <c r="FT36" s="241"/>
      <c r="FU36" s="241"/>
      <c r="FV36" s="241"/>
      <c r="FW36" s="241"/>
      <c r="FX36" s="241"/>
      <c r="FY36" s="241"/>
      <c r="FZ36" s="241"/>
      <c r="GA36" s="241"/>
      <c r="GB36" s="241"/>
      <c r="GC36" s="241"/>
      <c r="GD36" s="241"/>
      <c r="GE36" s="241"/>
      <c r="GF36" s="241"/>
      <c r="GG36" s="241"/>
      <c r="GH36" s="241"/>
      <c r="GI36" s="241"/>
      <c r="GJ36" s="241"/>
      <c r="GK36" s="241"/>
      <c r="GL36" s="241"/>
      <c r="GM36" s="241"/>
      <c r="GN36" s="241"/>
      <c r="GO36" s="241"/>
      <c r="GP36" s="241"/>
      <c r="GQ36" s="241"/>
      <c r="GR36" s="241"/>
      <c r="GS36" s="241"/>
      <c r="GT36" s="241"/>
      <c r="GU36" s="241"/>
      <c r="GV36" s="241"/>
      <c r="GW36" s="241"/>
      <c r="GX36" s="241"/>
      <c r="GY36" s="241"/>
      <c r="GZ36" s="241"/>
      <c r="HA36" s="241"/>
      <c r="HB36" s="241"/>
      <c r="HC36" s="241"/>
      <c r="HD36" s="241"/>
      <c r="HE36" s="241"/>
      <c r="HF36" s="241"/>
      <c r="HG36" s="241"/>
      <c r="HH36" s="241"/>
      <c r="HI36" s="241"/>
      <c r="HJ36" s="241"/>
      <c r="HK36" s="241"/>
      <c r="HL36" s="241"/>
      <c r="HM36" s="241"/>
      <c r="HN36" s="241"/>
      <c r="HO36" s="241"/>
      <c r="HP36" s="241"/>
      <c r="HQ36" s="241"/>
      <c r="HR36" s="241"/>
      <c r="HS36" s="241"/>
      <c r="HT36" s="241"/>
      <c r="HU36" s="241"/>
      <c r="HV36" s="241"/>
      <c r="HW36" s="241"/>
      <c r="HX36" s="241"/>
      <c r="HY36" s="241"/>
      <c r="HZ36" s="241"/>
      <c r="IA36" s="241"/>
      <c r="IB36" s="241"/>
      <c r="IC36" s="241"/>
      <c r="ID36" s="241"/>
      <c r="IE36" s="241"/>
      <c r="IF36" s="241"/>
      <c r="IG36" s="241"/>
      <c r="IH36" s="241"/>
      <c r="II36" s="241"/>
      <c r="IJ36" s="241"/>
      <c r="IK36" s="241"/>
      <c r="IL36" s="241"/>
      <c r="IM36" s="241"/>
      <c r="IN36" s="241"/>
      <c r="IO36" s="241"/>
      <c r="IP36" s="241"/>
      <c r="IQ36" s="241"/>
      <c r="IR36" s="241"/>
      <c r="IS36" s="241"/>
      <c r="IT36" s="241"/>
      <c r="IU36" s="241"/>
      <c r="IV36" s="241"/>
      <c r="IW36" s="241"/>
      <c r="IX36" s="241"/>
      <c r="IY36" s="241"/>
      <c r="IZ36" s="241"/>
      <c r="JA36" s="241"/>
      <c r="JB36" s="241"/>
      <c r="JC36" s="241"/>
      <c r="JD36" s="241"/>
      <c r="JE36" s="241"/>
      <c r="JF36" s="241"/>
      <c r="JG36" s="241"/>
      <c r="JH36" s="241"/>
      <c r="JI36" s="241"/>
      <c r="JJ36" s="241"/>
      <c r="JK36" s="241"/>
      <c r="JL36" s="241"/>
      <c r="JM36" s="241"/>
      <c r="JN36" s="241"/>
      <c r="JO36" s="241"/>
      <c r="JP36" s="241"/>
      <c r="JQ36" s="241"/>
      <c r="JR36" s="241"/>
      <c r="JS36" s="241"/>
      <c r="JT36" s="241"/>
      <c r="JU36" s="241"/>
      <c r="JV36" s="241"/>
      <c r="JW36" s="241"/>
      <c r="JX36" s="241"/>
      <c r="JY36" s="241"/>
      <c r="JZ36" s="241"/>
      <c r="KA36" s="241"/>
      <c r="KB36" s="241"/>
      <c r="KC36" s="241"/>
      <c r="KD36" s="241"/>
      <c r="KE36" s="241"/>
      <c r="KF36" s="241"/>
      <c r="KG36" s="241"/>
      <c r="KH36" s="241"/>
      <c r="KI36" s="241"/>
      <c r="KJ36" s="241"/>
      <c r="KK36" s="241"/>
      <c r="KL36" s="241"/>
      <c r="KM36" s="241"/>
      <c r="KN36" s="241"/>
      <c r="KO36" s="241"/>
      <c r="KP36" s="241"/>
      <c r="KQ36" s="241"/>
      <c r="KR36" s="241"/>
      <c r="KS36" s="241"/>
      <c r="KT36" s="241"/>
      <c r="KU36" s="241"/>
      <c r="KV36" s="241"/>
      <c r="KW36" s="241"/>
      <c r="KX36" s="241"/>
      <c r="KY36" s="241"/>
      <c r="KZ36" s="241"/>
      <c r="LA36" s="241"/>
      <c r="LB36" s="241"/>
      <c r="LC36" s="241"/>
      <c r="LD36" s="241"/>
      <c r="LE36" s="241"/>
      <c r="LF36" s="241"/>
      <c r="LG36" s="241"/>
      <c r="LH36" s="241"/>
      <c r="LI36" s="241"/>
      <c r="LJ36" s="241"/>
      <c r="LK36" s="241"/>
      <c r="LL36" s="241"/>
      <c r="LM36" s="241"/>
      <c r="LN36" s="241"/>
      <c r="LO36" s="241"/>
      <c r="LP36" s="241"/>
      <c r="LQ36" s="241"/>
      <c r="LR36" s="241"/>
      <c r="LS36" s="241"/>
      <c r="LT36" s="241"/>
      <c r="LU36" s="241"/>
      <c r="LV36" s="241"/>
      <c r="LW36" s="241"/>
      <c r="LX36" s="241"/>
      <c r="LY36" s="241"/>
      <c r="LZ36" s="241"/>
      <c r="MA36" s="241"/>
      <c r="MB36" s="241"/>
      <c r="MC36" s="241"/>
      <c r="MD36" s="241"/>
      <c r="ME36" s="241"/>
      <c r="MF36" s="241"/>
      <c r="MG36" s="241"/>
      <c r="MH36" s="241"/>
      <c r="MI36" s="241"/>
      <c r="MJ36" s="241"/>
      <c r="MK36" s="241"/>
      <c r="ML36" s="241"/>
      <c r="MM36" s="241"/>
      <c r="MN36" s="241"/>
      <c r="MO36" s="241"/>
      <c r="MP36" s="241"/>
      <c r="MQ36" s="241"/>
      <c r="MR36" s="241"/>
      <c r="MS36" s="241"/>
      <c r="MT36" s="241"/>
      <c r="MU36" s="241"/>
      <c r="MV36" s="241"/>
      <c r="MW36" s="241"/>
      <c r="MX36" s="241"/>
      <c r="MY36" s="663">
        <f t="shared" si="0"/>
        <v>0</v>
      </c>
      <c r="MZ36" s="663">
        <f t="shared" si="1"/>
        <v>0</v>
      </c>
      <c r="NA36" s="663">
        <f t="shared" si="2"/>
        <v>2489550</v>
      </c>
      <c r="NB36" s="663">
        <f t="shared" si="3"/>
        <v>2489550</v>
      </c>
      <c r="NC36" s="666"/>
    </row>
    <row r="37" spans="1:367" s="215" customFormat="1" ht="21.75" customHeight="1" x14ac:dyDescent="0.25">
      <c r="A37" s="208" t="s">
        <v>270</v>
      </c>
      <c r="B37" s="217" t="s">
        <v>242</v>
      </c>
      <c r="C37" s="221" t="s">
        <v>219</v>
      </c>
      <c r="D37" s="240">
        <f>SUM(D30:D36)</f>
        <v>0</v>
      </c>
      <c r="E37" s="240">
        <f t="shared" ref="E37:CV37" si="41">SUM(E30:E36)</f>
        <v>0</v>
      </c>
      <c r="F37" s="240">
        <f t="shared" si="41"/>
        <v>0</v>
      </c>
      <c r="G37" s="240">
        <f t="shared" si="41"/>
        <v>0</v>
      </c>
      <c r="H37" s="240">
        <f t="shared" si="41"/>
        <v>0</v>
      </c>
      <c r="I37" s="240">
        <f t="shared" si="41"/>
        <v>0</v>
      </c>
      <c r="J37" s="240">
        <f t="shared" si="41"/>
        <v>0</v>
      </c>
      <c r="K37" s="240">
        <f t="shared" si="41"/>
        <v>0</v>
      </c>
      <c r="L37" s="240">
        <f t="shared" si="41"/>
        <v>0</v>
      </c>
      <c r="M37" s="240">
        <f t="shared" si="41"/>
        <v>0</v>
      </c>
      <c r="N37" s="240">
        <f t="shared" si="41"/>
        <v>0</v>
      </c>
      <c r="O37" s="240">
        <f t="shared" si="41"/>
        <v>0</v>
      </c>
      <c r="P37" s="240">
        <f t="shared" si="41"/>
        <v>0</v>
      </c>
      <c r="Q37" s="240">
        <f t="shared" si="41"/>
        <v>0</v>
      </c>
      <c r="R37" s="240">
        <f t="shared" si="41"/>
        <v>0</v>
      </c>
      <c r="S37" s="240">
        <f t="shared" si="41"/>
        <v>0</v>
      </c>
      <c r="T37" s="240">
        <f t="shared" si="41"/>
        <v>0</v>
      </c>
      <c r="U37" s="240">
        <f t="shared" si="41"/>
        <v>0</v>
      </c>
      <c r="V37" s="240">
        <f t="shared" si="41"/>
        <v>0</v>
      </c>
      <c r="W37" s="240">
        <f t="shared" si="41"/>
        <v>0</v>
      </c>
      <c r="X37" s="240">
        <f t="shared" si="41"/>
        <v>0</v>
      </c>
      <c r="Y37" s="240">
        <f t="shared" si="41"/>
        <v>0</v>
      </c>
      <c r="Z37" s="240">
        <f t="shared" si="41"/>
        <v>0</v>
      </c>
      <c r="AA37" s="240">
        <f t="shared" si="41"/>
        <v>0</v>
      </c>
      <c r="AB37" s="240">
        <f t="shared" si="41"/>
        <v>0</v>
      </c>
      <c r="AC37" s="240">
        <f t="shared" si="41"/>
        <v>0</v>
      </c>
      <c r="AD37" s="240">
        <f t="shared" si="41"/>
        <v>0</v>
      </c>
      <c r="AE37" s="240">
        <f t="shared" si="41"/>
        <v>10000000</v>
      </c>
      <c r="AF37" s="240">
        <f t="shared" si="41"/>
        <v>27091495</v>
      </c>
      <c r="AG37" s="240">
        <f t="shared" si="41"/>
        <v>26808900</v>
      </c>
      <c r="AH37" s="240">
        <f t="shared" si="41"/>
        <v>1498800</v>
      </c>
      <c r="AI37" s="240">
        <f t="shared" si="41"/>
        <v>2489550</v>
      </c>
      <c r="AJ37" s="240">
        <f t="shared" si="41"/>
        <v>2489550</v>
      </c>
      <c r="AK37" s="240">
        <f t="shared" si="41"/>
        <v>898597574</v>
      </c>
      <c r="AL37" s="240">
        <f t="shared" si="41"/>
        <v>929447116</v>
      </c>
      <c r="AM37" s="240">
        <f t="shared" si="41"/>
        <v>929447116</v>
      </c>
      <c r="AN37" s="240">
        <f t="shared" si="41"/>
        <v>0</v>
      </c>
      <c r="AO37" s="240">
        <f t="shared" si="41"/>
        <v>164070993</v>
      </c>
      <c r="AP37" s="240">
        <f t="shared" si="41"/>
        <v>164070993</v>
      </c>
      <c r="AQ37" s="240">
        <f t="shared" si="41"/>
        <v>0</v>
      </c>
      <c r="AR37" s="240">
        <f t="shared" si="41"/>
        <v>0</v>
      </c>
      <c r="AS37" s="240">
        <f t="shared" si="41"/>
        <v>0</v>
      </c>
      <c r="AT37" s="240">
        <f t="shared" si="41"/>
        <v>0</v>
      </c>
      <c r="AU37" s="240">
        <f t="shared" si="41"/>
        <v>0</v>
      </c>
      <c r="AV37" s="240">
        <f t="shared" si="41"/>
        <v>0</v>
      </c>
      <c r="AW37" s="240">
        <f t="shared" si="41"/>
        <v>0</v>
      </c>
      <c r="AX37" s="240">
        <f t="shared" si="41"/>
        <v>0</v>
      </c>
      <c r="AY37" s="240">
        <f t="shared" si="41"/>
        <v>0</v>
      </c>
      <c r="AZ37" s="240">
        <f t="shared" si="41"/>
        <v>0</v>
      </c>
      <c r="BA37" s="240">
        <f t="shared" si="41"/>
        <v>0</v>
      </c>
      <c r="BB37" s="240">
        <f t="shared" si="41"/>
        <v>0</v>
      </c>
      <c r="BC37" s="240">
        <f t="shared" si="41"/>
        <v>0</v>
      </c>
      <c r="BD37" s="240">
        <f t="shared" si="41"/>
        <v>0</v>
      </c>
      <c r="BE37" s="240">
        <f t="shared" si="41"/>
        <v>0</v>
      </c>
      <c r="BF37" s="240">
        <f t="shared" si="41"/>
        <v>0</v>
      </c>
      <c r="BG37" s="240">
        <f t="shared" si="41"/>
        <v>0</v>
      </c>
      <c r="BH37" s="240">
        <f t="shared" si="41"/>
        <v>0</v>
      </c>
      <c r="BI37" s="240">
        <f t="shared" si="41"/>
        <v>0</v>
      </c>
      <c r="BJ37" s="240">
        <f t="shared" si="41"/>
        <v>0</v>
      </c>
      <c r="BK37" s="240">
        <f t="shared" si="41"/>
        <v>0</v>
      </c>
      <c r="BL37" s="240">
        <f t="shared" si="41"/>
        <v>0</v>
      </c>
      <c r="BM37" s="240">
        <f t="shared" si="41"/>
        <v>0</v>
      </c>
      <c r="BN37" s="240">
        <f t="shared" si="41"/>
        <v>0</v>
      </c>
      <c r="BO37" s="240">
        <f t="shared" si="41"/>
        <v>0</v>
      </c>
      <c r="BP37" s="240">
        <f t="shared" si="41"/>
        <v>0</v>
      </c>
      <c r="BQ37" s="240">
        <f t="shared" si="41"/>
        <v>0</v>
      </c>
      <c r="BR37" s="240">
        <f t="shared" si="41"/>
        <v>0</v>
      </c>
      <c r="BS37" s="240">
        <f t="shared" si="41"/>
        <v>0</v>
      </c>
      <c r="BT37" s="240">
        <f t="shared" si="41"/>
        <v>0</v>
      </c>
      <c r="BU37" s="240">
        <f t="shared" si="41"/>
        <v>0</v>
      </c>
      <c r="BV37" s="240">
        <f t="shared" si="41"/>
        <v>0</v>
      </c>
      <c r="BW37" s="240">
        <f t="shared" si="41"/>
        <v>0</v>
      </c>
      <c r="BX37" s="240">
        <f t="shared" si="41"/>
        <v>0</v>
      </c>
      <c r="BY37" s="240">
        <f t="shared" si="41"/>
        <v>0</v>
      </c>
      <c r="BZ37" s="240">
        <f t="shared" si="41"/>
        <v>0</v>
      </c>
      <c r="CA37" s="240">
        <f t="shared" si="41"/>
        <v>0</v>
      </c>
      <c r="CB37" s="240">
        <f t="shared" si="41"/>
        <v>0</v>
      </c>
      <c r="CC37" s="240">
        <f t="shared" si="41"/>
        <v>0</v>
      </c>
      <c r="CD37" s="240">
        <f t="shared" si="41"/>
        <v>0</v>
      </c>
      <c r="CE37" s="240">
        <f t="shared" si="41"/>
        <v>0</v>
      </c>
      <c r="CF37" s="240">
        <f t="shared" si="41"/>
        <v>0</v>
      </c>
      <c r="CG37" s="240">
        <f t="shared" si="41"/>
        <v>0</v>
      </c>
      <c r="CH37" s="240">
        <f t="shared" si="41"/>
        <v>0</v>
      </c>
      <c r="CI37" s="240">
        <f t="shared" si="41"/>
        <v>0</v>
      </c>
      <c r="CJ37" s="240">
        <f t="shared" si="41"/>
        <v>0</v>
      </c>
      <c r="CK37" s="240">
        <f t="shared" si="41"/>
        <v>0</v>
      </c>
      <c r="CL37" s="240">
        <f t="shared" si="41"/>
        <v>0</v>
      </c>
      <c r="CM37" s="240">
        <f t="shared" si="41"/>
        <v>0</v>
      </c>
      <c r="CN37" s="240">
        <f t="shared" si="41"/>
        <v>0</v>
      </c>
      <c r="CO37" s="240">
        <f t="shared" si="41"/>
        <v>0</v>
      </c>
      <c r="CP37" s="240">
        <f t="shared" si="41"/>
        <v>0</v>
      </c>
      <c r="CQ37" s="240">
        <f t="shared" si="41"/>
        <v>0</v>
      </c>
      <c r="CR37" s="240">
        <f t="shared" si="41"/>
        <v>0</v>
      </c>
      <c r="CS37" s="240">
        <f t="shared" si="41"/>
        <v>0</v>
      </c>
      <c r="CT37" s="240">
        <f t="shared" si="41"/>
        <v>1064000</v>
      </c>
      <c r="CU37" s="240">
        <f t="shared" si="41"/>
        <v>1064000</v>
      </c>
      <c r="CV37" s="240">
        <f t="shared" si="41"/>
        <v>0</v>
      </c>
      <c r="CW37" s="240">
        <f t="shared" ref="CW37:FH37" si="42">SUM(CW30:CW36)</f>
        <v>0</v>
      </c>
      <c r="CX37" s="240">
        <f t="shared" si="42"/>
        <v>0</v>
      </c>
      <c r="CY37" s="240">
        <f t="shared" si="42"/>
        <v>0</v>
      </c>
      <c r="CZ37" s="240">
        <f t="shared" si="42"/>
        <v>0</v>
      </c>
      <c r="DA37" s="240">
        <f t="shared" si="42"/>
        <v>0</v>
      </c>
      <c r="DB37" s="240">
        <f t="shared" si="42"/>
        <v>0</v>
      </c>
      <c r="DC37" s="240">
        <f t="shared" si="42"/>
        <v>0</v>
      </c>
      <c r="DD37" s="240">
        <f t="shared" si="42"/>
        <v>0</v>
      </c>
      <c r="DE37" s="240">
        <f t="shared" si="42"/>
        <v>0</v>
      </c>
      <c r="DF37" s="240">
        <f t="shared" si="42"/>
        <v>0</v>
      </c>
      <c r="DG37" s="240">
        <f t="shared" si="42"/>
        <v>0</v>
      </c>
      <c r="DH37" s="240">
        <f t="shared" si="42"/>
        <v>31800000</v>
      </c>
      <c r="DI37" s="240">
        <f t="shared" si="42"/>
        <v>47442750</v>
      </c>
      <c r="DJ37" s="240">
        <f t="shared" si="42"/>
        <v>47442750</v>
      </c>
      <c r="DK37" s="240">
        <f t="shared" si="42"/>
        <v>751000</v>
      </c>
      <c r="DL37" s="240">
        <f t="shared" si="42"/>
        <v>3924118</v>
      </c>
      <c r="DM37" s="240">
        <f t="shared" si="42"/>
        <v>3601224</v>
      </c>
      <c r="DN37" s="240">
        <f t="shared" si="42"/>
        <v>0</v>
      </c>
      <c r="DO37" s="240">
        <f t="shared" si="42"/>
        <v>0</v>
      </c>
      <c r="DP37" s="240">
        <f t="shared" si="42"/>
        <v>0</v>
      </c>
      <c r="DQ37" s="240">
        <f t="shared" si="42"/>
        <v>0</v>
      </c>
      <c r="DR37" s="240">
        <f t="shared" si="42"/>
        <v>0</v>
      </c>
      <c r="DS37" s="240">
        <f t="shared" si="42"/>
        <v>0</v>
      </c>
      <c r="DT37" s="240">
        <f t="shared" si="42"/>
        <v>0</v>
      </c>
      <c r="DU37" s="240">
        <f t="shared" si="42"/>
        <v>0</v>
      </c>
      <c r="DV37" s="240">
        <f t="shared" si="42"/>
        <v>0</v>
      </c>
      <c r="DW37" s="240">
        <f t="shared" si="42"/>
        <v>0</v>
      </c>
      <c r="DX37" s="240">
        <f t="shared" si="42"/>
        <v>0</v>
      </c>
      <c r="DY37" s="240">
        <f t="shared" si="42"/>
        <v>0</v>
      </c>
      <c r="DZ37" s="240">
        <f t="shared" si="42"/>
        <v>0</v>
      </c>
      <c r="EA37" s="240">
        <f t="shared" si="42"/>
        <v>0</v>
      </c>
      <c r="EB37" s="240">
        <f t="shared" si="42"/>
        <v>0</v>
      </c>
      <c r="EC37" s="240">
        <f t="shared" si="42"/>
        <v>0</v>
      </c>
      <c r="ED37" s="240">
        <f t="shared" si="42"/>
        <v>0</v>
      </c>
      <c r="EE37" s="240">
        <f t="shared" si="42"/>
        <v>0</v>
      </c>
      <c r="EF37" s="240">
        <f t="shared" si="42"/>
        <v>0</v>
      </c>
      <c r="EG37" s="240">
        <f t="shared" si="42"/>
        <v>0</v>
      </c>
      <c r="EH37" s="240">
        <f t="shared" si="42"/>
        <v>0</v>
      </c>
      <c r="EI37" s="240">
        <f t="shared" si="42"/>
        <v>13039031</v>
      </c>
      <c r="EJ37" s="240">
        <f t="shared" si="42"/>
        <v>19581035</v>
      </c>
      <c r="EK37" s="240">
        <f t="shared" si="42"/>
        <v>11809435</v>
      </c>
      <c r="EL37" s="240">
        <f t="shared" si="42"/>
        <v>677580</v>
      </c>
      <c r="EM37" s="240">
        <f t="shared" si="42"/>
        <v>2531836</v>
      </c>
      <c r="EN37" s="240">
        <f t="shared" si="42"/>
        <v>692780</v>
      </c>
      <c r="EO37" s="240">
        <f t="shared" si="42"/>
        <v>5280000</v>
      </c>
      <c r="EP37" s="240">
        <f t="shared" si="42"/>
        <v>6092196</v>
      </c>
      <c r="EQ37" s="240">
        <f t="shared" si="42"/>
        <v>6092196</v>
      </c>
      <c r="ER37" s="240">
        <f t="shared" si="42"/>
        <v>43180000</v>
      </c>
      <c r="ES37" s="240">
        <f t="shared" si="42"/>
        <v>48550938</v>
      </c>
      <c r="ET37" s="240">
        <f t="shared" si="42"/>
        <v>48540438</v>
      </c>
      <c r="EU37" s="240">
        <f t="shared" si="42"/>
        <v>0</v>
      </c>
      <c r="EV37" s="240">
        <f t="shared" si="42"/>
        <v>0</v>
      </c>
      <c r="EW37" s="240">
        <f t="shared" si="42"/>
        <v>0</v>
      </c>
      <c r="EX37" s="240">
        <f t="shared" si="42"/>
        <v>7000000</v>
      </c>
      <c r="EY37" s="240">
        <f t="shared" si="42"/>
        <v>8510523</v>
      </c>
      <c r="EZ37" s="240">
        <f t="shared" si="42"/>
        <v>8178543</v>
      </c>
      <c r="FA37" s="240">
        <f t="shared" si="42"/>
        <v>0</v>
      </c>
      <c r="FB37" s="240">
        <f t="shared" si="42"/>
        <v>415500</v>
      </c>
      <c r="FC37" s="240">
        <f t="shared" si="42"/>
        <v>415500</v>
      </c>
      <c r="FD37" s="240">
        <f t="shared" si="42"/>
        <v>0</v>
      </c>
      <c r="FE37" s="240">
        <f t="shared" si="42"/>
        <v>0</v>
      </c>
      <c r="FF37" s="240">
        <f t="shared" si="42"/>
        <v>0</v>
      </c>
      <c r="FG37" s="240">
        <f t="shared" si="42"/>
        <v>10000000</v>
      </c>
      <c r="FH37" s="240">
        <f t="shared" si="42"/>
        <v>18016000</v>
      </c>
      <c r="FI37" s="240">
        <f t="shared" ref="FI37:HZ37" si="43">SUM(FI30:FI36)</f>
        <v>16091500</v>
      </c>
      <c r="FJ37" s="240">
        <f t="shared" si="43"/>
        <v>0</v>
      </c>
      <c r="FK37" s="240">
        <f t="shared" si="43"/>
        <v>0</v>
      </c>
      <c r="FL37" s="240">
        <f t="shared" si="43"/>
        <v>0</v>
      </c>
      <c r="FM37" s="240">
        <f t="shared" si="43"/>
        <v>0</v>
      </c>
      <c r="FN37" s="240">
        <f t="shared" si="43"/>
        <v>0</v>
      </c>
      <c r="FO37" s="240">
        <f t="shared" si="43"/>
        <v>0</v>
      </c>
      <c r="FP37" s="240">
        <f t="shared" si="43"/>
        <v>0</v>
      </c>
      <c r="FQ37" s="240">
        <f t="shared" si="43"/>
        <v>0</v>
      </c>
      <c r="FR37" s="240">
        <f t="shared" si="43"/>
        <v>0</v>
      </c>
      <c r="FS37" s="240">
        <f t="shared" si="43"/>
        <v>0</v>
      </c>
      <c r="FT37" s="240">
        <f t="shared" si="43"/>
        <v>0</v>
      </c>
      <c r="FU37" s="240">
        <f t="shared" si="43"/>
        <v>0</v>
      </c>
      <c r="FV37" s="240">
        <f t="shared" si="43"/>
        <v>0</v>
      </c>
      <c r="FW37" s="240">
        <f t="shared" si="43"/>
        <v>0</v>
      </c>
      <c r="FX37" s="240">
        <f t="shared" si="43"/>
        <v>0</v>
      </c>
      <c r="FY37" s="240">
        <f t="shared" si="43"/>
        <v>0</v>
      </c>
      <c r="FZ37" s="240">
        <f t="shared" si="43"/>
        <v>0</v>
      </c>
      <c r="GA37" s="240">
        <f t="shared" si="43"/>
        <v>0</v>
      </c>
      <c r="GB37" s="240">
        <f t="shared" si="43"/>
        <v>0</v>
      </c>
      <c r="GC37" s="240">
        <f t="shared" si="43"/>
        <v>0</v>
      </c>
      <c r="GD37" s="240">
        <f t="shared" si="43"/>
        <v>0</v>
      </c>
      <c r="GE37" s="240">
        <f t="shared" si="43"/>
        <v>0</v>
      </c>
      <c r="GF37" s="240">
        <f t="shared" si="43"/>
        <v>16945640</v>
      </c>
      <c r="GG37" s="240">
        <f t="shared" si="43"/>
        <v>16945640</v>
      </c>
      <c r="GH37" s="240">
        <f t="shared" si="43"/>
        <v>65000000</v>
      </c>
      <c r="GI37" s="240">
        <f t="shared" si="43"/>
        <v>0</v>
      </c>
      <c r="GJ37" s="240">
        <f t="shared" si="43"/>
        <v>0</v>
      </c>
      <c r="GK37" s="240">
        <f>SUM(GK30:GK36)</f>
        <v>0</v>
      </c>
      <c r="GL37" s="240">
        <f>SUM(GL30:GL36)</f>
        <v>0</v>
      </c>
      <c r="GM37" s="240">
        <f>SUM(GM30:GM36)</f>
        <v>0</v>
      </c>
      <c r="GN37" s="240">
        <f t="shared" si="43"/>
        <v>0</v>
      </c>
      <c r="GO37" s="240">
        <f t="shared" si="43"/>
        <v>64823814</v>
      </c>
      <c r="GP37" s="240">
        <f t="shared" si="43"/>
        <v>64823814</v>
      </c>
      <c r="GQ37" s="240">
        <f t="shared" si="43"/>
        <v>65000000</v>
      </c>
      <c r="GR37" s="240">
        <f t="shared" si="43"/>
        <v>0</v>
      </c>
      <c r="GS37" s="240">
        <f t="shared" si="43"/>
        <v>0</v>
      </c>
      <c r="GT37" s="240">
        <f>SUM(GT30:GT36)</f>
        <v>0</v>
      </c>
      <c r="GU37" s="240">
        <f>SUM(GU30:GU36)</f>
        <v>0</v>
      </c>
      <c r="GV37" s="240">
        <f>SUM(GV30:GV36)</f>
        <v>0</v>
      </c>
      <c r="GW37" s="240">
        <f t="shared" si="43"/>
        <v>0</v>
      </c>
      <c r="GX37" s="240">
        <f t="shared" si="43"/>
        <v>0</v>
      </c>
      <c r="GY37" s="240">
        <f t="shared" si="43"/>
        <v>0</v>
      </c>
      <c r="GZ37" s="240">
        <f t="shared" si="43"/>
        <v>0</v>
      </c>
      <c r="HA37" s="240">
        <f t="shared" si="43"/>
        <v>0</v>
      </c>
      <c r="HB37" s="240">
        <f t="shared" si="43"/>
        <v>0</v>
      </c>
      <c r="HC37" s="240">
        <f t="shared" si="43"/>
        <v>0</v>
      </c>
      <c r="HD37" s="240">
        <f t="shared" si="43"/>
        <v>0</v>
      </c>
      <c r="HE37" s="240">
        <f t="shared" si="43"/>
        <v>0</v>
      </c>
      <c r="HF37" s="240">
        <f t="shared" si="43"/>
        <v>0</v>
      </c>
      <c r="HG37" s="240">
        <f t="shared" si="43"/>
        <v>0</v>
      </c>
      <c r="HH37" s="240">
        <f t="shared" si="43"/>
        <v>0</v>
      </c>
      <c r="HI37" s="240">
        <f t="shared" si="43"/>
        <v>0</v>
      </c>
      <c r="HJ37" s="240">
        <f t="shared" si="43"/>
        <v>0</v>
      </c>
      <c r="HK37" s="240">
        <f t="shared" si="43"/>
        <v>0</v>
      </c>
      <c r="HL37" s="240">
        <f t="shared" si="43"/>
        <v>0</v>
      </c>
      <c r="HM37" s="240">
        <f t="shared" si="43"/>
        <v>0</v>
      </c>
      <c r="HN37" s="240">
        <f t="shared" si="43"/>
        <v>0</v>
      </c>
      <c r="HO37" s="240">
        <f t="shared" si="43"/>
        <v>0</v>
      </c>
      <c r="HP37" s="240">
        <f t="shared" si="43"/>
        <v>0</v>
      </c>
      <c r="HQ37" s="240">
        <f t="shared" si="43"/>
        <v>0</v>
      </c>
      <c r="HR37" s="240">
        <f t="shared" si="43"/>
        <v>0</v>
      </c>
      <c r="HS37" s="240">
        <f t="shared" si="43"/>
        <v>0</v>
      </c>
      <c r="HT37" s="240">
        <f t="shared" si="43"/>
        <v>0</v>
      </c>
      <c r="HU37" s="240">
        <f t="shared" si="43"/>
        <v>0</v>
      </c>
      <c r="HV37" s="240">
        <f t="shared" si="43"/>
        <v>0</v>
      </c>
      <c r="HW37" s="240">
        <f t="shared" si="43"/>
        <v>0</v>
      </c>
      <c r="HX37" s="240">
        <f t="shared" si="43"/>
        <v>0</v>
      </c>
      <c r="HY37" s="240">
        <f t="shared" si="43"/>
        <v>0</v>
      </c>
      <c r="HZ37" s="240">
        <f t="shared" si="43"/>
        <v>0</v>
      </c>
      <c r="IA37" s="240">
        <f t="shared" ref="IA37:KL37" si="44">SUM(IA30:IA36)</f>
        <v>0</v>
      </c>
      <c r="IB37" s="240">
        <f t="shared" si="44"/>
        <v>0</v>
      </c>
      <c r="IC37" s="240">
        <f t="shared" si="44"/>
        <v>0</v>
      </c>
      <c r="ID37" s="240">
        <f t="shared" si="44"/>
        <v>0</v>
      </c>
      <c r="IE37" s="240">
        <f t="shared" si="44"/>
        <v>0</v>
      </c>
      <c r="IF37" s="240">
        <f t="shared" si="44"/>
        <v>0</v>
      </c>
      <c r="IG37" s="240">
        <f t="shared" si="44"/>
        <v>0</v>
      </c>
      <c r="IH37" s="240">
        <f t="shared" si="44"/>
        <v>0</v>
      </c>
      <c r="II37" s="240">
        <f t="shared" si="44"/>
        <v>0</v>
      </c>
      <c r="IJ37" s="240">
        <f t="shared" si="44"/>
        <v>0</v>
      </c>
      <c r="IK37" s="240">
        <f t="shared" si="44"/>
        <v>0</v>
      </c>
      <c r="IL37" s="240">
        <f t="shared" si="44"/>
        <v>0</v>
      </c>
      <c r="IM37" s="240">
        <f t="shared" si="44"/>
        <v>0</v>
      </c>
      <c r="IN37" s="240">
        <f t="shared" si="44"/>
        <v>0</v>
      </c>
      <c r="IO37" s="240">
        <f t="shared" si="44"/>
        <v>0</v>
      </c>
      <c r="IP37" s="240">
        <f t="shared" si="44"/>
        <v>0</v>
      </c>
      <c r="IQ37" s="240">
        <f t="shared" si="44"/>
        <v>0</v>
      </c>
      <c r="IR37" s="240">
        <f t="shared" si="44"/>
        <v>0</v>
      </c>
      <c r="IS37" s="240">
        <f t="shared" si="44"/>
        <v>0</v>
      </c>
      <c r="IT37" s="240">
        <f t="shared" si="44"/>
        <v>0</v>
      </c>
      <c r="IU37" s="240">
        <f t="shared" si="44"/>
        <v>0</v>
      </c>
      <c r="IV37" s="240">
        <f t="shared" si="44"/>
        <v>0</v>
      </c>
      <c r="IW37" s="240">
        <f t="shared" si="44"/>
        <v>0</v>
      </c>
      <c r="IX37" s="240">
        <f t="shared" si="44"/>
        <v>0</v>
      </c>
      <c r="IY37" s="240">
        <f t="shared" si="44"/>
        <v>0</v>
      </c>
      <c r="IZ37" s="240">
        <f t="shared" si="44"/>
        <v>0</v>
      </c>
      <c r="JA37" s="240">
        <f t="shared" si="44"/>
        <v>0</v>
      </c>
      <c r="JB37" s="240">
        <f t="shared" si="44"/>
        <v>0</v>
      </c>
      <c r="JC37" s="240">
        <f t="shared" si="44"/>
        <v>0</v>
      </c>
      <c r="JD37" s="240">
        <f t="shared" si="44"/>
        <v>0</v>
      </c>
      <c r="JE37" s="240">
        <f t="shared" si="44"/>
        <v>0</v>
      </c>
      <c r="JF37" s="240">
        <f t="shared" si="44"/>
        <v>0</v>
      </c>
      <c r="JG37" s="240">
        <f t="shared" si="44"/>
        <v>0</v>
      </c>
      <c r="JH37" s="240">
        <f t="shared" si="44"/>
        <v>8841120</v>
      </c>
      <c r="JI37" s="240">
        <f t="shared" si="44"/>
        <v>8841120</v>
      </c>
      <c r="JJ37" s="240">
        <f t="shared" si="44"/>
        <v>0</v>
      </c>
      <c r="JK37" s="240">
        <f t="shared" si="44"/>
        <v>7723234</v>
      </c>
      <c r="JL37" s="240">
        <f t="shared" si="44"/>
        <v>7723234</v>
      </c>
      <c r="JM37" s="240">
        <f t="shared" si="44"/>
        <v>0</v>
      </c>
      <c r="JN37" s="240">
        <f t="shared" si="44"/>
        <v>0</v>
      </c>
      <c r="JO37" s="240">
        <f t="shared" si="44"/>
        <v>0</v>
      </c>
      <c r="JP37" s="240">
        <f t="shared" si="44"/>
        <v>0</v>
      </c>
      <c r="JQ37" s="240">
        <f t="shared" si="44"/>
        <v>0</v>
      </c>
      <c r="JR37" s="240">
        <f t="shared" si="44"/>
        <v>0</v>
      </c>
      <c r="JS37" s="240">
        <f t="shared" si="44"/>
        <v>0</v>
      </c>
      <c r="JT37" s="240">
        <f t="shared" si="44"/>
        <v>0</v>
      </c>
      <c r="JU37" s="240">
        <f t="shared" si="44"/>
        <v>0</v>
      </c>
      <c r="JV37" s="240">
        <f t="shared" si="44"/>
        <v>0</v>
      </c>
      <c r="JW37" s="240">
        <f t="shared" si="44"/>
        <v>0</v>
      </c>
      <c r="JX37" s="240">
        <f t="shared" si="44"/>
        <v>0</v>
      </c>
      <c r="JY37" s="240">
        <f t="shared" si="44"/>
        <v>0</v>
      </c>
      <c r="JZ37" s="240">
        <f t="shared" si="44"/>
        <v>0</v>
      </c>
      <c r="KA37" s="240">
        <f t="shared" si="44"/>
        <v>0</v>
      </c>
      <c r="KB37" s="240">
        <f t="shared" si="44"/>
        <v>0</v>
      </c>
      <c r="KC37" s="240">
        <f t="shared" si="44"/>
        <v>0</v>
      </c>
      <c r="KD37" s="240">
        <f t="shared" si="44"/>
        <v>0</v>
      </c>
      <c r="KE37" s="240">
        <f t="shared" si="44"/>
        <v>0</v>
      </c>
      <c r="KF37" s="240">
        <f t="shared" si="44"/>
        <v>0</v>
      </c>
      <c r="KG37" s="240">
        <f t="shared" si="44"/>
        <v>0</v>
      </c>
      <c r="KH37" s="240">
        <f t="shared" si="44"/>
        <v>0</v>
      </c>
      <c r="KI37" s="240">
        <f t="shared" si="44"/>
        <v>0</v>
      </c>
      <c r="KJ37" s="240">
        <f t="shared" si="44"/>
        <v>0</v>
      </c>
      <c r="KK37" s="240">
        <f t="shared" si="44"/>
        <v>0</v>
      </c>
      <c r="KL37" s="240">
        <f t="shared" si="44"/>
        <v>0</v>
      </c>
      <c r="KM37" s="240">
        <f t="shared" ref="KM37:MX37" si="45">SUM(KM30:KM36)</f>
        <v>0</v>
      </c>
      <c r="KN37" s="240">
        <f t="shared" si="45"/>
        <v>0</v>
      </c>
      <c r="KO37" s="240">
        <f t="shared" si="45"/>
        <v>0</v>
      </c>
      <c r="KP37" s="240">
        <f t="shared" si="45"/>
        <v>0</v>
      </c>
      <c r="KQ37" s="240">
        <f t="shared" si="45"/>
        <v>0</v>
      </c>
      <c r="KR37" s="240">
        <f t="shared" si="45"/>
        <v>0</v>
      </c>
      <c r="KS37" s="240">
        <f t="shared" si="45"/>
        <v>0</v>
      </c>
      <c r="KT37" s="240">
        <f t="shared" si="45"/>
        <v>0</v>
      </c>
      <c r="KU37" s="240">
        <f t="shared" si="45"/>
        <v>0</v>
      </c>
      <c r="KV37" s="240">
        <f t="shared" si="45"/>
        <v>0</v>
      </c>
      <c r="KW37" s="240">
        <f t="shared" si="45"/>
        <v>0</v>
      </c>
      <c r="KX37" s="240">
        <f t="shared" si="45"/>
        <v>0</v>
      </c>
      <c r="KY37" s="240">
        <f t="shared" si="45"/>
        <v>0</v>
      </c>
      <c r="KZ37" s="240">
        <f t="shared" si="45"/>
        <v>0</v>
      </c>
      <c r="LA37" s="240">
        <f t="shared" si="45"/>
        <v>0</v>
      </c>
      <c r="LB37" s="240">
        <f t="shared" si="45"/>
        <v>0</v>
      </c>
      <c r="LC37" s="240">
        <f t="shared" si="45"/>
        <v>0</v>
      </c>
      <c r="LD37" s="240">
        <f t="shared" si="45"/>
        <v>0</v>
      </c>
      <c r="LE37" s="240">
        <f t="shared" si="45"/>
        <v>0</v>
      </c>
      <c r="LF37" s="240">
        <f t="shared" si="45"/>
        <v>0</v>
      </c>
      <c r="LG37" s="240">
        <f t="shared" si="45"/>
        <v>49565206</v>
      </c>
      <c r="LH37" s="240">
        <f t="shared" si="45"/>
        <v>49565206</v>
      </c>
      <c r="LI37" s="240">
        <f t="shared" si="45"/>
        <v>0</v>
      </c>
      <c r="LJ37" s="240">
        <f t="shared" si="45"/>
        <v>0</v>
      </c>
      <c r="LK37" s="240">
        <f t="shared" si="45"/>
        <v>0</v>
      </c>
      <c r="LL37" s="240">
        <f t="shared" si="45"/>
        <v>0</v>
      </c>
      <c r="LM37" s="240">
        <f t="shared" si="45"/>
        <v>0</v>
      </c>
      <c r="LN37" s="240">
        <f t="shared" si="45"/>
        <v>0</v>
      </c>
      <c r="LO37" s="240">
        <f t="shared" si="45"/>
        <v>0</v>
      </c>
      <c r="LP37" s="240">
        <f t="shared" si="45"/>
        <v>0</v>
      </c>
      <c r="LQ37" s="240">
        <f t="shared" si="45"/>
        <v>0</v>
      </c>
      <c r="LR37" s="240">
        <f t="shared" si="45"/>
        <v>0</v>
      </c>
      <c r="LS37" s="240">
        <f t="shared" si="45"/>
        <v>0</v>
      </c>
      <c r="LT37" s="240">
        <f t="shared" si="45"/>
        <v>0</v>
      </c>
      <c r="LU37" s="240">
        <f t="shared" si="45"/>
        <v>0</v>
      </c>
      <c r="LV37" s="240">
        <f t="shared" si="45"/>
        <v>0</v>
      </c>
      <c r="LW37" s="240">
        <f t="shared" si="45"/>
        <v>0</v>
      </c>
      <c r="LX37" s="240">
        <f t="shared" si="45"/>
        <v>0</v>
      </c>
      <c r="LY37" s="240">
        <f t="shared" si="45"/>
        <v>0</v>
      </c>
      <c r="LZ37" s="240">
        <f t="shared" si="45"/>
        <v>0</v>
      </c>
      <c r="MA37" s="240">
        <f t="shared" si="45"/>
        <v>0</v>
      </c>
      <c r="MB37" s="240">
        <f t="shared" si="45"/>
        <v>0</v>
      </c>
      <c r="MC37" s="240">
        <f t="shared" si="45"/>
        <v>0</v>
      </c>
      <c r="MD37" s="240">
        <f t="shared" si="45"/>
        <v>0</v>
      </c>
      <c r="ME37" s="240">
        <f t="shared" si="45"/>
        <v>4690003</v>
      </c>
      <c r="MF37" s="240">
        <f t="shared" si="45"/>
        <v>4690003</v>
      </c>
      <c r="MG37" s="240">
        <f t="shared" si="45"/>
        <v>0</v>
      </c>
      <c r="MH37" s="240">
        <f t="shared" si="45"/>
        <v>0</v>
      </c>
      <c r="MI37" s="240">
        <f t="shared" si="45"/>
        <v>0</v>
      </c>
      <c r="MJ37" s="240">
        <f t="shared" si="45"/>
        <v>0</v>
      </c>
      <c r="MK37" s="240">
        <f t="shared" si="45"/>
        <v>0</v>
      </c>
      <c r="ML37" s="240">
        <f t="shared" si="45"/>
        <v>0</v>
      </c>
      <c r="MM37" s="240">
        <f t="shared" si="45"/>
        <v>0</v>
      </c>
      <c r="MN37" s="240">
        <f t="shared" si="45"/>
        <v>0</v>
      </c>
      <c r="MO37" s="240">
        <f t="shared" si="45"/>
        <v>0</v>
      </c>
      <c r="MP37" s="240">
        <f t="shared" si="45"/>
        <v>0</v>
      </c>
      <c r="MQ37" s="240">
        <f t="shared" si="45"/>
        <v>0</v>
      </c>
      <c r="MR37" s="240">
        <f t="shared" si="45"/>
        <v>0</v>
      </c>
      <c r="MS37" s="240">
        <f t="shared" si="45"/>
        <v>0</v>
      </c>
      <c r="MT37" s="240">
        <f t="shared" si="45"/>
        <v>0</v>
      </c>
      <c r="MU37" s="240">
        <f t="shared" si="45"/>
        <v>0</v>
      </c>
      <c r="MV37" s="240">
        <f t="shared" si="45"/>
        <v>0</v>
      </c>
      <c r="MW37" s="240">
        <f t="shared" si="45"/>
        <v>0</v>
      </c>
      <c r="MX37" s="240">
        <f t="shared" si="45"/>
        <v>0</v>
      </c>
      <c r="MY37" s="663">
        <f t="shared" si="0"/>
        <v>472938378</v>
      </c>
      <c r="MZ37" s="663">
        <f t="shared" si="1"/>
        <v>462711733</v>
      </c>
      <c r="NA37" s="663">
        <f t="shared" si="2"/>
        <v>958878689</v>
      </c>
      <c r="NB37" s="663">
        <f t="shared" si="3"/>
        <v>956622209</v>
      </c>
      <c r="NC37" s="665"/>
    </row>
    <row r="38" spans="1:367" s="215" customFormat="1" ht="21.75" customHeight="1" x14ac:dyDescent="0.25">
      <c r="A38" s="208" t="s">
        <v>271</v>
      </c>
      <c r="B38" s="221" t="s">
        <v>243</v>
      </c>
      <c r="C38" s="210" t="s">
        <v>221</v>
      </c>
      <c r="D38" s="229">
        <f>SUM(D40:D44)</f>
        <v>0</v>
      </c>
      <c r="E38" s="229">
        <f t="shared" ref="E38:CV38" si="46">SUM(E40:E44)</f>
        <v>0</v>
      </c>
      <c r="F38" s="229">
        <f t="shared" si="46"/>
        <v>0</v>
      </c>
      <c r="G38" s="229">
        <f t="shared" si="46"/>
        <v>0</v>
      </c>
      <c r="H38" s="229">
        <f t="shared" si="46"/>
        <v>0</v>
      </c>
      <c r="I38" s="229">
        <f t="shared" si="46"/>
        <v>0</v>
      </c>
      <c r="J38" s="229">
        <f t="shared" si="46"/>
        <v>0</v>
      </c>
      <c r="K38" s="229">
        <f t="shared" si="46"/>
        <v>0</v>
      </c>
      <c r="L38" s="229">
        <f t="shared" si="46"/>
        <v>0</v>
      </c>
      <c r="M38" s="229">
        <f t="shared" si="46"/>
        <v>0</v>
      </c>
      <c r="N38" s="229">
        <f t="shared" si="46"/>
        <v>0</v>
      </c>
      <c r="O38" s="229">
        <f t="shared" si="46"/>
        <v>0</v>
      </c>
      <c r="P38" s="229">
        <f t="shared" si="46"/>
        <v>0</v>
      </c>
      <c r="Q38" s="229">
        <f t="shared" si="46"/>
        <v>0</v>
      </c>
      <c r="R38" s="229">
        <f t="shared" si="46"/>
        <v>0</v>
      </c>
      <c r="S38" s="229">
        <f t="shared" si="46"/>
        <v>0</v>
      </c>
      <c r="T38" s="229">
        <f t="shared" si="46"/>
        <v>0</v>
      </c>
      <c r="U38" s="229">
        <f t="shared" si="46"/>
        <v>0</v>
      </c>
      <c r="V38" s="229">
        <f t="shared" si="46"/>
        <v>0</v>
      </c>
      <c r="W38" s="229">
        <f t="shared" si="46"/>
        <v>0</v>
      </c>
      <c r="X38" s="229">
        <f t="shared" si="46"/>
        <v>0</v>
      </c>
      <c r="Y38" s="229">
        <f t="shared" si="46"/>
        <v>0</v>
      </c>
      <c r="Z38" s="229">
        <f t="shared" si="46"/>
        <v>0</v>
      </c>
      <c r="AA38" s="229">
        <f t="shared" si="46"/>
        <v>0</v>
      </c>
      <c r="AB38" s="229">
        <f t="shared" si="46"/>
        <v>0</v>
      </c>
      <c r="AC38" s="229">
        <f t="shared" si="46"/>
        <v>0</v>
      </c>
      <c r="AD38" s="229">
        <f t="shared" si="46"/>
        <v>0</v>
      </c>
      <c r="AE38" s="229">
        <f t="shared" si="46"/>
        <v>0</v>
      </c>
      <c r="AF38" s="229">
        <f t="shared" si="46"/>
        <v>0</v>
      </c>
      <c r="AG38" s="229">
        <f t="shared" si="46"/>
        <v>0</v>
      </c>
      <c r="AH38" s="229">
        <f t="shared" si="46"/>
        <v>0</v>
      </c>
      <c r="AI38" s="229">
        <f t="shared" si="46"/>
        <v>0</v>
      </c>
      <c r="AJ38" s="229">
        <f t="shared" si="46"/>
        <v>0</v>
      </c>
      <c r="AK38" s="229">
        <f t="shared" si="46"/>
        <v>0</v>
      </c>
      <c r="AL38" s="229">
        <f t="shared" si="46"/>
        <v>0</v>
      </c>
      <c r="AM38" s="229">
        <f t="shared" si="46"/>
        <v>0</v>
      </c>
      <c r="AN38" s="229">
        <f t="shared" si="46"/>
        <v>3493957077</v>
      </c>
      <c r="AO38" s="229">
        <f t="shared" si="46"/>
        <v>3604217267</v>
      </c>
      <c r="AP38" s="229">
        <f t="shared" si="46"/>
        <v>3604217267</v>
      </c>
      <c r="AQ38" s="229">
        <f t="shared" si="46"/>
        <v>0</v>
      </c>
      <c r="AR38" s="229">
        <f t="shared" si="46"/>
        <v>0</v>
      </c>
      <c r="AS38" s="229">
        <f t="shared" si="46"/>
        <v>0</v>
      </c>
      <c r="AT38" s="229">
        <f t="shared" si="46"/>
        <v>0</v>
      </c>
      <c r="AU38" s="229">
        <f t="shared" si="46"/>
        <v>0</v>
      </c>
      <c r="AV38" s="229">
        <f t="shared" si="46"/>
        <v>0</v>
      </c>
      <c r="AW38" s="229">
        <f t="shared" si="46"/>
        <v>0</v>
      </c>
      <c r="AX38" s="229">
        <f t="shared" si="46"/>
        <v>0</v>
      </c>
      <c r="AY38" s="229">
        <f t="shared" si="46"/>
        <v>0</v>
      </c>
      <c r="AZ38" s="229">
        <f t="shared" si="46"/>
        <v>0</v>
      </c>
      <c r="BA38" s="229">
        <f t="shared" si="46"/>
        <v>0</v>
      </c>
      <c r="BB38" s="229">
        <f t="shared" si="46"/>
        <v>0</v>
      </c>
      <c r="BC38" s="229">
        <f t="shared" si="46"/>
        <v>0</v>
      </c>
      <c r="BD38" s="229">
        <f t="shared" si="46"/>
        <v>0</v>
      </c>
      <c r="BE38" s="229">
        <f t="shared" si="46"/>
        <v>0</v>
      </c>
      <c r="BF38" s="229">
        <f t="shared" si="46"/>
        <v>0</v>
      </c>
      <c r="BG38" s="229">
        <f t="shared" si="46"/>
        <v>0</v>
      </c>
      <c r="BH38" s="229">
        <f t="shared" si="46"/>
        <v>0</v>
      </c>
      <c r="BI38" s="229">
        <f t="shared" si="46"/>
        <v>0</v>
      </c>
      <c r="BJ38" s="229">
        <f t="shared" si="46"/>
        <v>0</v>
      </c>
      <c r="BK38" s="229">
        <f t="shared" si="46"/>
        <v>0</v>
      </c>
      <c r="BL38" s="229">
        <f t="shared" si="46"/>
        <v>0</v>
      </c>
      <c r="BM38" s="229">
        <f t="shared" si="46"/>
        <v>0</v>
      </c>
      <c r="BN38" s="229">
        <f t="shared" si="46"/>
        <v>0</v>
      </c>
      <c r="BO38" s="229">
        <f t="shared" si="46"/>
        <v>0</v>
      </c>
      <c r="BP38" s="229">
        <f t="shared" si="46"/>
        <v>0</v>
      </c>
      <c r="BQ38" s="229">
        <f t="shared" si="46"/>
        <v>0</v>
      </c>
      <c r="BR38" s="229">
        <f t="shared" si="46"/>
        <v>0</v>
      </c>
      <c r="BS38" s="229">
        <f t="shared" si="46"/>
        <v>0</v>
      </c>
      <c r="BT38" s="229">
        <f t="shared" si="46"/>
        <v>0</v>
      </c>
      <c r="BU38" s="229">
        <f t="shared" si="46"/>
        <v>0</v>
      </c>
      <c r="BV38" s="229">
        <f t="shared" si="46"/>
        <v>0</v>
      </c>
      <c r="BW38" s="229">
        <f t="shared" si="46"/>
        <v>0</v>
      </c>
      <c r="BX38" s="229">
        <f t="shared" si="46"/>
        <v>0</v>
      </c>
      <c r="BY38" s="229">
        <f t="shared" si="46"/>
        <v>0</v>
      </c>
      <c r="BZ38" s="229">
        <f t="shared" si="46"/>
        <v>0</v>
      </c>
      <c r="CA38" s="229">
        <f t="shared" si="46"/>
        <v>0</v>
      </c>
      <c r="CB38" s="229">
        <f t="shared" si="46"/>
        <v>0</v>
      </c>
      <c r="CC38" s="229">
        <f t="shared" si="46"/>
        <v>0</v>
      </c>
      <c r="CD38" s="229">
        <f t="shared" si="46"/>
        <v>0</v>
      </c>
      <c r="CE38" s="229">
        <f t="shared" si="46"/>
        <v>0</v>
      </c>
      <c r="CF38" s="229">
        <f t="shared" si="46"/>
        <v>0</v>
      </c>
      <c r="CG38" s="229">
        <f t="shared" si="46"/>
        <v>0</v>
      </c>
      <c r="CH38" s="229">
        <f t="shared" si="46"/>
        <v>0</v>
      </c>
      <c r="CI38" s="229">
        <f t="shared" si="46"/>
        <v>0</v>
      </c>
      <c r="CJ38" s="229">
        <f t="shared" si="46"/>
        <v>0</v>
      </c>
      <c r="CK38" s="229">
        <f t="shared" si="46"/>
        <v>0</v>
      </c>
      <c r="CL38" s="229">
        <f t="shared" si="46"/>
        <v>0</v>
      </c>
      <c r="CM38" s="229">
        <f t="shared" si="46"/>
        <v>0</v>
      </c>
      <c r="CN38" s="229">
        <f t="shared" si="46"/>
        <v>0</v>
      </c>
      <c r="CO38" s="229">
        <f t="shared" si="46"/>
        <v>0</v>
      </c>
      <c r="CP38" s="229">
        <f t="shared" si="46"/>
        <v>0</v>
      </c>
      <c r="CQ38" s="229">
        <f t="shared" si="46"/>
        <v>0</v>
      </c>
      <c r="CR38" s="229">
        <f t="shared" si="46"/>
        <v>0</v>
      </c>
      <c r="CS38" s="229">
        <f t="shared" si="46"/>
        <v>0</v>
      </c>
      <c r="CT38" s="229">
        <f t="shared" si="46"/>
        <v>0</v>
      </c>
      <c r="CU38" s="229">
        <f t="shared" si="46"/>
        <v>0</v>
      </c>
      <c r="CV38" s="229">
        <f t="shared" si="46"/>
        <v>0</v>
      </c>
      <c r="CW38" s="229">
        <f t="shared" ref="CW38:FH38" si="47">SUM(CW40:CW44)</f>
        <v>0</v>
      </c>
      <c r="CX38" s="229">
        <f t="shared" si="47"/>
        <v>0</v>
      </c>
      <c r="CY38" s="229">
        <f t="shared" si="47"/>
        <v>0</v>
      </c>
      <c r="CZ38" s="229">
        <f t="shared" si="47"/>
        <v>0</v>
      </c>
      <c r="DA38" s="229">
        <f t="shared" si="47"/>
        <v>0</v>
      </c>
      <c r="DB38" s="229">
        <f t="shared" si="47"/>
        <v>0</v>
      </c>
      <c r="DC38" s="229">
        <f t="shared" si="47"/>
        <v>0</v>
      </c>
      <c r="DD38" s="229">
        <f t="shared" si="47"/>
        <v>0</v>
      </c>
      <c r="DE38" s="229">
        <f t="shared" si="47"/>
        <v>0</v>
      </c>
      <c r="DF38" s="229">
        <f t="shared" si="47"/>
        <v>0</v>
      </c>
      <c r="DG38" s="229">
        <f t="shared" si="47"/>
        <v>0</v>
      </c>
      <c r="DH38" s="229">
        <f t="shared" si="47"/>
        <v>0</v>
      </c>
      <c r="DI38" s="229">
        <f t="shared" si="47"/>
        <v>0</v>
      </c>
      <c r="DJ38" s="229">
        <f t="shared" si="47"/>
        <v>0</v>
      </c>
      <c r="DK38" s="229">
        <f t="shared" si="47"/>
        <v>0</v>
      </c>
      <c r="DL38" s="229">
        <f t="shared" si="47"/>
        <v>0</v>
      </c>
      <c r="DM38" s="229">
        <f t="shared" si="47"/>
        <v>0</v>
      </c>
      <c r="DN38" s="229">
        <f t="shared" si="47"/>
        <v>0</v>
      </c>
      <c r="DO38" s="229">
        <f t="shared" si="47"/>
        <v>0</v>
      </c>
      <c r="DP38" s="229">
        <f t="shared" si="47"/>
        <v>0</v>
      </c>
      <c r="DQ38" s="229">
        <f t="shared" si="47"/>
        <v>0</v>
      </c>
      <c r="DR38" s="229">
        <f t="shared" si="47"/>
        <v>0</v>
      </c>
      <c r="DS38" s="229">
        <f t="shared" si="47"/>
        <v>0</v>
      </c>
      <c r="DT38" s="229">
        <f t="shared" si="47"/>
        <v>0</v>
      </c>
      <c r="DU38" s="229">
        <f t="shared" si="47"/>
        <v>0</v>
      </c>
      <c r="DV38" s="229">
        <f t="shared" si="47"/>
        <v>0</v>
      </c>
      <c r="DW38" s="229">
        <f t="shared" si="47"/>
        <v>0</v>
      </c>
      <c r="DX38" s="229">
        <f t="shared" si="47"/>
        <v>0</v>
      </c>
      <c r="DY38" s="229">
        <f t="shared" si="47"/>
        <v>0</v>
      </c>
      <c r="DZ38" s="229">
        <f t="shared" si="47"/>
        <v>0</v>
      </c>
      <c r="EA38" s="229">
        <f t="shared" si="47"/>
        <v>0</v>
      </c>
      <c r="EB38" s="229">
        <f t="shared" si="47"/>
        <v>0</v>
      </c>
      <c r="EC38" s="229">
        <f t="shared" si="47"/>
        <v>0</v>
      </c>
      <c r="ED38" s="229">
        <f t="shared" si="47"/>
        <v>0</v>
      </c>
      <c r="EE38" s="229">
        <f t="shared" si="47"/>
        <v>0</v>
      </c>
      <c r="EF38" s="229">
        <f t="shared" si="47"/>
        <v>0</v>
      </c>
      <c r="EG38" s="229">
        <f t="shared" si="47"/>
        <v>0</v>
      </c>
      <c r="EH38" s="229">
        <f t="shared" si="47"/>
        <v>0</v>
      </c>
      <c r="EI38" s="229">
        <f t="shared" si="47"/>
        <v>0</v>
      </c>
      <c r="EJ38" s="229">
        <f t="shared" si="47"/>
        <v>0</v>
      </c>
      <c r="EK38" s="229">
        <f t="shared" si="47"/>
        <v>0</v>
      </c>
      <c r="EL38" s="229">
        <f t="shared" si="47"/>
        <v>0</v>
      </c>
      <c r="EM38" s="229">
        <f t="shared" si="47"/>
        <v>0</v>
      </c>
      <c r="EN38" s="229">
        <f t="shared" si="47"/>
        <v>0</v>
      </c>
      <c r="EO38" s="229">
        <f t="shared" si="47"/>
        <v>0</v>
      </c>
      <c r="EP38" s="229">
        <f t="shared" si="47"/>
        <v>0</v>
      </c>
      <c r="EQ38" s="229">
        <f t="shared" si="47"/>
        <v>0</v>
      </c>
      <c r="ER38" s="229">
        <f t="shared" si="47"/>
        <v>0</v>
      </c>
      <c r="ES38" s="229">
        <f t="shared" si="47"/>
        <v>0</v>
      </c>
      <c r="ET38" s="229">
        <f t="shared" si="47"/>
        <v>0</v>
      </c>
      <c r="EU38" s="229">
        <f t="shared" si="47"/>
        <v>0</v>
      </c>
      <c r="EV38" s="229">
        <f t="shared" si="47"/>
        <v>0</v>
      </c>
      <c r="EW38" s="229">
        <f t="shared" si="47"/>
        <v>0</v>
      </c>
      <c r="EX38" s="229">
        <f t="shared" si="47"/>
        <v>0</v>
      </c>
      <c r="EY38" s="229">
        <f t="shared" si="47"/>
        <v>0</v>
      </c>
      <c r="EZ38" s="229">
        <f t="shared" si="47"/>
        <v>0</v>
      </c>
      <c r="FA38" s="229">
        <f t="shared" si="47"/>
        <v>0</v>
      </c>
      <c r="FB38" s="229">
        <f t="shared" si="47"/>
        <v>0</v>
      </c>
      <c r="FC38" s="229">
        <f t="shared" si="47"/>
        <v>0</v>
      </c>
      <c r="FD38" s="229">
        <f t="shared" si="47"/>
        <v>0</v>
      </c>
      <c r="FE38" s="229">
        <f t="shared" si="47"/>
        <v>0</v>
      </c>
      <c r="FF38" s="229">
        <f t="shared" si="47"/>
        <v>0</v>
      </c>
      <c r="FG38" s="229">
        <f t="shared" si="47"/>
        <v>0</v>
      </c>
      <c r="FH38" s="229">
        <f t="shared" si="47"/>
        <v>0</v>
      </c>
      <c r="FI38" s="229">
        <f t="shared" ref="FI38:HZ38" si="48">SUM(FI40:FI44)</f>
        <v>0</v>
      </c>
      <c r="FJ38" s="229">
        <f t="shared" si="48"/>
        <v>0</v>
      </c>
      <c r="FK38" s="229">
        <f t="shared" si="48"/>
        <v>0</v>
      </c>
      <c r="FL38" s="229">
        <f t="shared" si="48"/>
        <v>0</v>
      </c>
      <c r="FM38" s="229">
        <f t="shared" si="48"/>
        <v>0</v>
      </c>
      <c r="FN38" s="229">
        <f t="shared" si="48"/>
        <v>0</v>
      </c>
      <c r="FO38" s="229">
        <f t="shared" si="48"/>
        <v>0</v>
      </c>
      <c r="FP38" s="229">
        <f t="shared" si="48"/>
        <v>0</v>
      </c>
      <c r="FQ38" s="229">
        <f t="shared" si="48"/>
        <v>0</v>
      </c>
      <c r="FR38" s="229">
        <f t="shared" si="48"/>
        <v>0</v>
      </c>
      <c r="FS38" s="229">
        <f t="shared" si="48"/>
        <v>0</v>
      </c>
      <c r="FT38" s="229">
        <f t="shared" si="48"/>
        <v>0</v>
      </c>
      <c r="FU38" s="229">
        <f t="shared" si="48"/>
        <v>0</v>
      </c>
      <c r="FV38" s="229">
        <f t="shared" si="48"/>
        <v>0</v>
      </c>
      <c r="FW38" s="229">
        <f t="shared" si="48"/>
        <v>0</v>
      </c>
      <c r="FX38" s="229">
        <f t="shared" si="48"/>
        <v>0</v>
      </c>
      <c r="FY38" s="229">
        <f t="shared" si="48"/>
        <v>0</v>
      </c>
      <c r="FZ38" s="229">
        <f t="shared" si="48"/>
        <v>0</v>
      </c>
      <c r="GA38" s="229">
        <f t="shared" si="48"/>
        <v>0</v>
      </c>
      <c r="GB38" s="229">
        <f t="shared" si="48"/>
        <v>0</v>
      </c>
      <c r="GC38" s="229">
        <f t="shared" si="48"/>
        <v>0</v>
      </c>
      <c r="GD38" s="229">
        <f t="shared" si="48"/>
        <v>0</v>
      </c>
      <c r="GE38" s="229">
        <f t="shared" si="48"/>
        <v>0</v>
      </c>
      <c r="GF38" s="229">
        <f t="shared" si="48"/>
        <v>0</v>
      </c>
      <c r="GG38" s="229">
        <f t="shared" si="48"/>
        <v>0</v>
      </c>
      <c r="GH38" s="229">
        <f t="shared" si="48"/>
        <v>0</v>
      </c>
      <c r="GI38" s="229">
        <f t="shared" si="48"/>
        <v>0</v>
      </c>
      <c r="GJ38" s="229">
        <f t="shared" si="48"/>
        <v>0</v>
      </c>
      <c r="GK38" s="229">
        <f>SUM(GK40:GK44)</f>
        <v>0</v>
      </c>
      <c r="GL38" s="229">
        <f>SUM(GL40:GL44)</f>
        <v>0</v>
      </c>
      <c r="GM38" s="229">
        <f>SUM(GM40:GM44)</f>
        <v>0</v>
      </c>
      <c r="GN38" s="229">
        <f t="shared" si="48"/>
        <v>0</v>
      </c>
      <c r="GO38" s="229">
        <f t="shared" si="48"/>
        <v>0</v>
      </c>
      <c r="GP38" s="229">
        <f t="shared" si="48"/>
        <v>0</v>
      </c>
      <c r="GQ38" s="229">
        <f t="shared" si="48"/>
        <v>0</v>
      </c>
      <c r="GR38" s="229">
        <f t="shared" si="48"/>
        <v>0</v>
      </c>
      <c r="GS38" s="229">
        <f t="shared" si="48"/>
        <v>0</v>
      </c>
      <c r="GT38" s="229">
        <f>SUM(GT40:GT44)</f>
        <v>0</v>
      </c>
      <c r="GU38" s="229">
        <f>SUM(GU40:GU44)</f>
        <v>0</v>
      </c>
      <c r="GV38" s="229">
        <f>SUM(GV40:GV44)</f>
        <v>0</v>
      </c>
      <c r="GW38" s="229">
        <f t="shared" si="48"/>
        <v>0</v>
      </c>
      <c r="GX38" s="229">
        <f t="shared" si="48"/>
        <v>0</v>
      </c>
      <c r="GY38" s="229">
        <f t="shared" si="48"/>
        <v>0</v>
      </c>
      <c r="GZ38" s="229">
        <f t="shared" si="48"/>
        <v>0</v>
      </c>
      <c r="HA38" s="229">
        <f t="shared" si="48"/>
        <v>0</v>
      </c>
      <c r="HB38" s="229">
        <f t="shared" si="48"/>
        <v>0</v>
      </c>
      <c r="HC38" s="229">
        <f t="shared" si="48"/>
        <v>0</v>
      </c>
      <c r="HD38" s="229">
        <f t="shared" si="48"/>
        <v>0</v>
      </c>
      <c r="HE38" s="229">
        <f t="shared" si="48"/>
        <v>0</v>
      </c>
      <c r="HF38" s="229">
        <f t="shared" si="48"/>
        <v>0</v>
      </c>
      <c r="HG38" s="229">
        <f t="shared" si="48"/>
        <v>0</v>
      </c>
      <c r="HH38" s="229">
        <f t="shared" si="48"/>
        <v>0</v>
      </c>
      <c r="HI38" s="229">
        <f t="shared" si="48"/>
        <v>0</v>
      </c>
      <c r="HJ38" s="229">
        <f t="shared" si="48"/>
        <v>0</v>
      </c>
      <c r="HK38" s="229">
        <f t="shared" si="48"/>
        <v>0</v>
      </c>
      <c r="HL38" s="229">
        <f t="shared" si="48"/>
        <v>0</v>
      </c>
      <c r="HM38" s="229">
        <f t="shared" si="48"/>
        <v>0</v>
      </c>
      <c r="HN38" s="229">
        <f t="shared" si="48"/>
        <v>0</v>
      </c>
      <c r="HO38" s="229">
        <f t="shared" si="48"/>
        <v>0</v>
      </c>
      <c r="HP38" s="229">
        <f t="shared" si="48"/>
        <v>0</v>
      </c>
      <c r="HQ38" s="229">
        <f t="shared" si="48"/>
        <v>0</v>
      </c>
      <c r="HR38" s="229">
        <f t="shared" si="48"/>
        <v>0</v>
      </c>
      <c r="HS38" s="229">
        <f t="shared" si="48"/>
        <v>0</v>
      </c>
      <c r="HT38" s="229">
        <f t="shared" si="48"/>
        <v>0</v>
      </c>
      <c r="HU38" s="229">
        <f t="shared" si="48"/>
        <v>0</v>
      </c>
      <c r="HV38" s="229">
        <f t="shared" si="48"/>
        <v>0</v>
      </c>
      <c r="HW38" s="229">
        <f t="shared" si="48"/>
        <v>0</v>
      </c>
      <c r="HX38" s="229">
        <f t="shared" si="48"/>
        <v>0</v>
      </c>
      <c r="HY38" s="229">
        <f t="shared" si="48"/>
        <v>0</v>
      </c>
      <c r="HZ38" s="229">
        <f t="shared" si="48"/>
        <v>0</v>
      </c>
      <c r="IA38" s="229">
        <f t="shared" ref="IA38:KL38" si="49">SUM(IA40:IA44)</f>
        <v>0</v>
      </c>
      <c r="IB38" s="229">
        <f t="shared" si="49"/>
        <v>0</v>
      </c>
      <c r="IC38" s="229">
        <f t="shared" si="49"/>
        <v>0</v>
      </c>
      <c r="ID38" s="229">
        <f t="shared" si="49"/>
        <v>0</v>
      </c>
      <c r="IE38" s="229">
        <f t="shared" si="49"/>
        <v>0</v>
      </c>
      <c r="IF38" s="229">
        <f t="shared" si="49"/>
        <v>0</v>
      </c>
      <c r="IG38" s="229">
        <f t="shared" si="49"/>
        <v>0</v>
      </c>
      <c r="IH38" s="229">
        <f t="shared" si="49"/>
        <v>0</v>
      </c>
      <c r="II38" s="229">
        <f t="shared" si="49"/>
        <v>0</v>
      </c>
      <c r="IJ38" s="229">
        <f t="shared" si="49"/>
        <v>0</v>
      </c>
      <c r="IK38" s="229">
        <f t="shared" si="49"/>
        <v>0</v>
      </c>
      <c r="IL38" s="229">
        <f t="shared" si="49"/>
        <v>0</v>
      </c>
      <c r="IM38" s="229">
        <f t="shared" si="49"/>
        <v>0</v>
      </c>
      <c r="IN38" s="229">
        <f t="shared" si="49"/>
        <v>0</v>
      </c>
      <c r="IO38" s="229">
        <f t="shared" si="49"/>
        <v>0</v>
      </c>
      <c r="IP38" s="229">
        <f t="shared" si="49"/>
        <v>0</v>
      </c>
      <c r="IQ38" s="229">
        <f t="shared" si="49"/>
        <v>0</v>
      </c>
      <c r="IR38" s="229">
        <f t="shared" si="49"/>
        <v>0</v>
      </c>
      <c r="IS38" s="229">
        <f t="shared" si="49"/>
        <v>0</v>
      </c>
      <c r="IT38" s="229">
        <f t="shared" si="49"/>
        <v>0</v>
      </c>
      <c r="IU38" s="229">
        <f t="shared" si="49"/>
        <v>0</v>
      </c>
      <c r="IV38" s="229">
        <f t="shared" si="49"/>
        <v>0</v>
      </c>
      <c r="IW38" s="229">
        <f t="shared" si="49"/>
        <v>0</v>
      </c>
      <c r="IX38" s="229">
        <f t="shared" si="49"/>
        <v>0</v>
      </c>
      <c r="IY38" s="229">
        <f t="shared" si="49"/>
        <v>0</v>
      </c>
      <c r="IZ38" s="229">
        <f t="shared" si="49"/>
        <v>0</v>
      </c>
      <c r="JA38" s="229">
        <f t="shared" si="49"/>
        <v>0</v>
      </c>
      <c r="JB38" s="229">
        <f t="shared" si="49"/>
        <v>0</v>
      </c>
      <c r="JC38" s="229">
        <f t="shared" si="49"/>
        <v>0</v>
      </c>
      <c r="JD38" s="229">
        <f t="shared" si="49"/>
        <v>0</v>
      </c>
      <c r="JE38" s="229">
        <f t="shared" si="49"/>
        <v>0</v>
      </c>
      <c r="JF38" s="229">
        <f t="shared" si="49"/>
        <v>0</v>
      </c>
      <c r="JG38" s="229">
        <f t="shared" si="49"/>
        <v>0</v>
      </c>
      <c r="JH38" s="229">
        <f t="shared" si="49"/>
        <v>0</v>
      </c>
      <c r="JI38" s="229">
        <f t="shared" si="49"/>
        <v>0</v>
      </c>
      <c r="JJ38" s="229">
        <f t="shared" si="49"/>
        <v>0</v>
      </c>
      <c r="JK38" s="229">
        <f t="shared" si="49"/>
        <v>0</v>
      </c>
      <c r="JL38" s="229">
        <f t="shared" si="49"/>
        <v>0</v>
      </c>
      <c r="JM38" s="229">
        <f t="shared" si="49"/>
        <v>0</v>
      </c>
      <c r="JN38" s="229">
        <f t="shared" si="49"/>
        <v>0</v>
      </c>
      <c r="JO38" s="229">
        <f t="shared" si="49"/>
        <v>0</v>
      </c>
      <c r="JP38" s="229">
        <f t="shared" si="49"/>
        <v>0</v>
      </c>
      <c r="JQ38" s="229">
        <f t="shared" si="49"/>
        <v>0</v>
      </c>
      <c r="JR38" s="229">
        <f t="shared" si="49"/>
        <v>0</v>
      </c>
      <c r="JS38" s="229">
        <f t="shared" si="49"/>
        <v>0</v>
      </c>
      <c r="JT38" s="229">
        <f t="shared" si="49"/>
        <v>0</v>
      </c>
      <c r="JU38" s="229">
        <f t="shared" si="49"/>
        <v>0</v>
      </c>
      <c r="JV38" s="229">
        <f t="shared" si="49"/>
        <v>0</v>
      </c>
      <c r="JW38" s="229">
        <f t="shared" si="49"/>
        <v>0</v>
      </c>
      <c r="JX38" s="229">
        <f t="shared" si="49"/>
        <v>0</v>
      </c>
      <c r="JY38" s="229">
        <f t="shared" si="49"/>
        <v>0</v>
      </c>
      <c r="JZ38" s="229">
        <f t="shared" si="49"/>
        <v>0</v>
      </c>
      <c r="KA38" s="229">
        <f t="shared" si="49"/>
        <v>0</v>
      </c>
      <c r="KB38" s="229">
        <f t="shared" si="49"/>
        <v>0</v>
      </c>
      <c r="KC38" s="229">
        <f t="shared" si="49"/>
        <v>0</v>
      </c>
      <c r="KD38" s="229">
        <f t="shared" si="49"/>
        <v>0</v>
      </c>
      <c r="KE38" s="229">
        <f t="shared" si="49"/>
        <v>0</v>
      </c>
      <c r="KF38" s="229">
        <f t="shared" si="49"/>
        <v>0</v>
      </c>
      <c r="KG38" s="229">
        <f t="shared" si="49"/>
        <v>0</v>
      </c>
      <c r="KH38" s="229">
        <f t="shared" si="49"/>
        <v>0</v>
      </c>
      <c r="KI38" s="229">
        <f t="shared" si="49"/>
        <v>0</v>
      </c>
      <c r="KJ38" s="229">
        <f t="shared" si="49"/>
        <v>0</v>
      </c>
      <c r="KK38" s="229">
        <f t="shared" si="49"/>
        <v>0</v>
      </c>
      <c r="KL38" s="229">
        <f t="shared" si="49"/>
        <v>0</v>
      </c>
      <c r="KM38" s="229">
        <f t="shared" ref="KM38:MX38" si="50">SUM(KM40:KM44)</f>
        <v>0</v>
      </c>
      <c r="KN38" s="229">
        <f t="shared" si="50"/>
        <v>0</v>
      </c>
      <c r="KO38" s="229">
        <f t="shared" si="50"/>
        <v>0</v>
      </c>
      <c r="KP38" s="229">
        <f t="shared" si="50"/>
        <v>0</v>
      </c>
      <c r="KQ38" s="229">
        <f t="shared" si="50"/>
        <v>0</v>
      </c>
      <c r="KR38" s="229">
        <f t="shared" si="50"/>
        <v>0</v>
      </c>
      <c r="KS38" s="229">
        <f t="shared" si="50"/>
        <v>0</v>
      </c>
      <c r="KT38" s="229">
        <f t="shared" si="50"/>
        <v>0</v>
      </c>
      <c r="KU38" s="229">
        <f t="shared" si="50"/>
        <v>0</v>
      </c>
      <c r="KV38" s="229">
        <f t="shared" si="50"/>
        <v>0</v>
      </c>
      <c r="KW38" s="229">
        <f t="shared" si="50"/>
        <v>0</v>
      </c>
      <c r="KX38" s="229">
        <f t="shared" si="50"/>
        <v>0</v>
      </c>
      <c r="KY38" s="229">
        <f t="shared" si="50"/>
        <v>0</v>
      </c>
      <c r="KZ38" s="229">
        <f t="shared" si="50"/>
        <v>0</v>
      </c>
      <c r="LA38" s="229">
        <f t="shared" si="50"/>
        <v>0</v>
      </c>
      <c r="LB38" s="229">
        <f t="shared" si="50"/>
        <v>0</v>
      </c>
      <c r="LC38" s="229">
        <f t="shared" si="50"/>
        <v>0</v>
      </c>
      <c r="LD38" s="229">
        <f t="shared" si="50"/>
        <v>0</v>
      </c>
      <c r="LE38" s="229">
        <f t="shared" si="50"/>
        <v>0</v>
      </c>
      <c r="LF38" s="229">
        <f t="shared" si="50"/>
        <v>0</v>
      </c>
      <c r="LG38" s="229">
        <f t="shared" si="50"/>
        <v>0</v>
      </c>
      <c r="LH38" s="229">
        <f t="shared" si="50"/>
        <v>0</v>
      </c>
      <c r="LI38" s="229">
        <f t="shared" si="50"/>
        <v>0</v>
      </c>
      <c r="LJ38" s="229">
        <f t="shared" si="50"/>
        <v>0</v>
      </c>
      <c r="LK38" s="229">
        <f t="shared" si="50"/>
        <v>0</v>
      </c>
      <c r="LL38" s="229">
        <f t="shared" si="50"/>
        <v>0</v>
      </c>
      <c r="LM38" s="229">
        <f t="shared" si="50"/>
        <v>0</v>
      </c>
      <c r="LN38" s="229">
        <f t="shared" si="50"/>
        <v>0</v>
      </c>
      <c r="LO38" s="229">
        <f t="shared" si="50"/>
        <v>0</v>
      </c>
      <c r="LP38" s="229">
        <f t="shared" si="50"/>
        <v>0</v>
      </c>
      <c r="LQ38" s="229">
        <f t="shared" si="50"/>
        <v>0</v>
      </c>
      <c r="LR38" s="229">
        <f t="shared" si="50"/>
        <v>0</v>
      </c>
      <c r="LS38" s="229">
        <f t="shared" si="50"/>
        <v>0</v>
      </c>
      <c r="LT38" s="229">
        <f t="shared" si="50"/>
        <v>0</v>
      </c>
      <c r="LU38" s="229">
        <f t="shared" si="50"/>
        <v>0</v>
      </c>
      <c r="LV38" s="229">
        <f t="shared" si="50"/>
        <v>0</v>
      </c>
      <c r="LW38" s="229">
        <f t="shared" si="50"/>
        <v>0</v>
      </c>
      <c r="LX38" s="229">
        <f t="shared" si="50"/>
        <v>0</v>
      </c>
      <c r="LY38" s="229">
        <f t="shared" si="50"/>
        <v>0</v>
      </c>
      <c r="LZ38" s="229">
        <f t="shared" si="50"/>
        <v>0</v>
      </c>
      <c r="MA38" s="229">
        <f t="shared" si="50"/>
        <v>0</v>
      </c>
      <c r="MB38" s="229">
        <f t="shared" si="50"/>
        <v>0</v>
      </c>
      <c r="MC38" s="229">
        <f t="shared" si="50"/>
        <v>0</v>
      </c>
      <c r="MD38" s="229">
        <f t="shared" si="50"/>
        <v>0</v>
      </c>
      <c r="ME38" s="229">
        <f t="shared" si="50"/>
        <v>0</v>
      </c>
      <c r="MF38" s="229">
        <f t="shared" si="50"/>
        <v>0</v>
      </c>
      <c r="MG38" s="229">
        <f t="shared" si="50"/>
        <v>0</v>
      </c>
      <c r="MH38" s="229">
        <f t="shared" si="50"/>
        <v>0</v>
      </c>
      <c r="MI38" s="229">
        <f t="shared" si="50"/>
        <v>0</v>
      </c>
      <c r="MJ38" s="229">
        <f t="shared" si="50"/>
        <v>0</v>
      </c>
      <c r="MK38" s="229">
        <f t="shared" si="50"/>
        <v>0</v>
      </c>
      <c r="ML38" s="229">
        <f t="shared" si="50"/>
        <v>0</v>
      </c>
      <c r="MM38" s="229">
        <f t="shared" si="50"/>
        <v>0</v>
      </c>
      <c r="MN38" s="229">
        <f t="shared" si="50"/>
        <v>0</v>
      </c>
      <c r="MO38" s="229">
        <f t="shared" si="50"/>
        <v>0</v>
      </c>
      <c r="MP38" s="229">
        <f t="shared" si="50"/>
        <v>0</v>
      </c>
      <c r="MQ38" s="229">
        <f t="shared" si="50"/>
        <v>0</v>
      </c>
      <c r="MR38" s="229">
        <f t="shared" si="50"/>
        <v>0</v>
      </c>
      <c r="MS38" s="229">
        <f t="shared" si="50"/>
        <v>0</v>
      </c>
      <c r="MT38" s="229">
        <f t="shared" si="50"/>
        <v>0</v>
      </c>
      <c r="MU38" s="229">
        <f t="shared" si="50"/>
        <v>0</v>
      </c>
      <c r="MV38" s="229">
        <f t="shared" si="50"/>
        <v>0</v>
      </c>
      <c r="MW38" s="229">
        <f t="shared" si="50"/>
        <v>0</v>
      </c>
      <c r="MX38" s="229">
        <f t="shared" si="50"/>
        <v>0</v>
      </c>
      <c r="MY38" s="663">
        <f t="shared" si="0"/>
        <v>3604217267</v>
      </c>
      <c r="MZ38" s="663">
        <f t="shared" si="1"/>
        <v>3604217267</v>
      </c>
      <c r="NA38" s="663">
        <f t="shared" si="2"/>
        <v>0</v>
      </c>
      <c r="NB38" s="663">
        <f t="shared" si="3"/>
        <v>0</v>
      </c>
      <c r="NC38" s="663"/>
    </row>
    <row r="39" spans="1:367" s="215" customFormat="1" ht="21.75" customHeight="1" x14ac:dyDescent="0.25">
      <c r="A39" s="208" t="s">
        <v>272</v>
      </c>
      <c r="B39" s="222" t="s">
        <v>533</v>
      </c>
      <c r="C39" s="210"/>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229"/>
      <c r="CT39" s="229"/>
      <c r="CU39" s="229"/>
      <c r="CV39" s="229"/>
      <c r="CW39" s="229"/>
      <c r="CX39" s="229"/>
      <c r="CY39" s="229"/>
      <c r="CZ39" s="229"/>
      <c r="DA39" s="229"/>
      <c r="DB39" s="229"/>
      <c r="DC39" s="229"/>
      <c r="DD39" s="229"/>
      <c r="DE39" s="229"/>
      <c r="DF39" s="229"/>
      <c r="DG39" s="229"/>
      <c r="DH39" s="229"/>
      <c r="DI39" s="229"/>
      <c r="DJ39" s="229"/>
      <c r="DK39" s="229"/>
      <c r="DL39" s="229"/>
      <c r="DM39" s="229"/>
      <c r="DN39" s="229"/>
      <c r="DO39" s="229"/>
      <c r="DP39" s="229"/>
      <c r="DQ39" s="229"/>
      <c r="DR39" s="229"/>
      <c r="DS39" s="229"/>
      <c r="DT39" s="229"/>
      <c r="DU39" s="229"/>
      <c r="DV39" s="229"/>
      <c r="DW39" s="229"/>
      <c r="DX39" s="229"/>
      <c r="DY39" s="229"/>
      <c r="DZ39" s="229"/>
      <c r="EA39" s="229"/>
      <c r="EB39" s="229"/>
      <c r="EC39" s="229"/>
      <c r="ED39" s="229"/>
      <c r="EE39" s="229"/>
      <c r="EF39" s="229"/>
      <c r="EG39" s="229"/>
      <c r="EH39" s="229"/>
      <c r="EI39" s="229"/>
      <c r="EJ39" s="229"/>
      <c r="EK39" s="229"/>
      <c r="EL39" s="229"/>
      <c r="EM39" s="229"/>
      <c r="EN39" s="229"/>
      <c r="EO39" s="229"/>
      <c r="EP39" s="229"/>
      <c r="EQ39" s="229"/>
      <c r="ER39" s="229"/>
      <c r="ES39" s="229"/>
      <c r="ET39" s="229"/>
      <c r="EU39" s="229"/>
      <c r="EV39" s="229"/>
      <c r="EW39" s="229"/>
      <c r="EX39" s="229"/>
      <c r="EY39" s="229"/>
      <c r="EZ39" s="229"/>
      <c r="FA39" s="229"/>
      <c r="FB39" s="229"/>
      <c r="FC39" s="229"/>
      <c r="FD39" s="229"/>
      <c r="FE39" s="229"/>
      <c r="FF39" s="229"/>
      <c r="FG39" s="229"/>
      <c r="FH39" s="229"/>
      <c r="FI39" s="229"/>
      <c r="FJ39" s="229"/>
      <c r="FK39" s="229"/>
      <c r="FL39" s="229"/>
      <c r="FM39" s="229"/>
      <c r="FN39" s="229"/>
      <c r="FO39" s="229"/>
      <c r="FP39" s="229"/>
      <c r="FQ39" s="229"/>
      <c r="FR39" s="229"/>
      <c r="FS39" s="229"/>
      <c r="FT39" s="229"/>
      <c r="FU39" s="229"/>
      <c r="FV39" s="229"/>
      <c r="FW39" s="229"/>
      <c r="FX39" s="229"/>
      <c r="FY39" s="229"/>
      <c r="FZ39" s="229"/>
      <c r="GA39" s="229"/>
      <c r="GB39" s="229"/>
      <c r="GC39" s="229"/>
      <c r="GD39" s="229"/>
      <c r="GE39" s="229"/>
      <c r="GF39" s="229"/>
      <c r="GG39" s="229"/>
      <c r="GH39" s="229"/>
      <c r="GI39" s="229"/>
      <c r="GJ39" s="229"/>
      <c r="GK39" s="229"/>
      <c r="GL39" s="229"/>
      <c r="GM39" s="229"/>
      <c r="GN39" s="229"/>
      <c r="GO39" s="229"/>
      <c r="GP39" s="229"/>
      <c r="GQ39" s="229"/>
      <c r="GR39" s="229"/>
      <c r="GS39" s="229"/>
      <c r="GT39" s="229"/>
      <c r="GU39" s="229"/>
      <c r="GV39" s="229"/>
      <c r="GW39" s="229"/>
      <c r="GX39" s="229"/>
      <c r="GY39" s="229"/>
      <c r="GZ39" s="229"/>
      <c r="HA39" s="229"/>
      <c r="HB39" s="229"/>
      <c r="HC39" s="229"/>
      <c r="HD39" s="229"/>
      <c r="HE39" s="229"/>
      <c r="HF39" s="229"/>
      <c r="HG39" s="229"/>
      <c r="HH39" s="229"/>
      <c r="HI39" s="229"/>
      <c r="HJ39" s="229"/>
      <c r="HK39" s="229"/>
      <c r="HL39" s="229"/>
      <c r="HM39" s="229"/>
      <c r="HN39" s="229"/>
      <c r="HO39" s="229"/>
      <c r="HP39" s="229"/>
      <c r="HQ39" s="229"/>
      <c r="HR39" s="229"/>
      <c r="HS39" s="229"/>
      <c r="HT39" s="229"/>
      <c r="HU39" s="229"/>
      <c r="HV39" s="229"/>
      <c r="HW39" s="229"/>
      <c r="HX39" s="229"/>
      <c r="HY39" s="229"/>
      <c r="HZ39" s="229"/>
      <c r="IA39" s="229"/>
      <c r="IB39" s="229"/>
      <c r="IC39" s="229"/>
      <c r="ID39" s="229"/>
      <c r="IE39" s="229"/>
      <c r="IF39" s="229"/>
      <c r="IG39" s="229"/>
      <c r="IH39" s="229"/>
      <c r="II39" s="229"/>
      <c r="IJ39" s="229"/>
      <c r="IK39" s="229"/>
      <c r="IL39" s="229"/>
      <c r="IM39" s="229"/>
      <c r="IN39" s="229"/>
      <c r="IO39" s="229"/>
      <c r="IP39" s="229"/>
      <c r="IQ39" s="229"/>
      <c r="IR39" s="229"/>
      <c r="IS39" s="229"/>
      <c r="IT39" s="229"/>
      <c r="IU39" s="229"/>
      <c r="IV39" s="229"/>
      <c r="IW39" s="229"/>
      <c r="IX39" s="229"/>
      <c r="IY39" s="229"/>
      <c r="IZ39" s="229"/>
      <c r="JA39" s="229"/>
      <c r="JB39" s="229"/>
      <c r="JC39" s="229"/>
      <c r="JD39" s="229"/>
      <c r="JE39" s="229"/>
      <c r="JF39" s="229"/>
      <c r="JG39" s="229"/>
      <c r="JH39" s="229"/>
      <c r="JI39" s="229"/>
      <c r="JJ39" s="229"/>
      <c r="JK39" s="229"/>
      <c r="JL39" s="229"/>
      <c r="JM39" s="229"/>
      <c r="JN39" s="229"/>
      <c r="JO39" s="229"/>
      <c r="JP39" s="229"/>
      <c r="JQ39" s="229"/>
      <c r="JR39" s="229"/>
      <c r="JS39" s="229"/>
      <c r="JT39" s="229"/>
      <c r="JU39" s="229"/>
      <c r="JV39" s="229"/>
      <c r="JW39" s="229"/>
      <c r="JX39" s="229"/>
      <c r="JY39" s="229"/>
      <c r="JZ39" s="229"/>
      <c r="KA39" s="229"/>
      <c r="KB39" s="229"/>
      <c r="KC39" s="229"/>
      <c r="KD39" s="229"/>
      <c r="KE39" s="229"/>
      <c r="KF39" s="229"/>
      <c r="KG39" s="229"/>
      <c r="KH39" s="229"/>
      <c r="KI39" s="229"/>
      <c r="KJ39" s="229"/>
      <c r="KK39" s="229"/>
      <c r="KL39" s="229"/>
      <c r="KM39" s="229"/>
      <c r="KN39" s="229"/>
      <c r="KO39" s="229"/>
      <c r="KP39" s="229"/>
      <c r="KQ39" s="229"/>
      <c r="KR39" s="229"/>
      <c r="KS39" s="229"/>
      <c r="KT39" s="229"/>
      <c r="KU39" s="229"/>
      <c r="KV39" s="229"/>
      <c r="KW39" s="229"/>
      <c r="KX39" s="229"/>
      <c r="KY39" s="229"/>
      <c r="KZ39" s="229"/>
      <c r="LA39" s="229"/>
      <c r="LB39" s="229"/>
      <c r="LC39" s="229"/>
      <c r="LD39" s="229"/>
      <c r="LE39" s="229"/>
      <c r="LF39" s="229"/>
      <c r="LG39" s="229"/>
      <c r="LH39" s="229"/>
      <c r="LI39" s="229"/>
      <c r="LJ39" s="229"/>
      <c r="LK39" s="229"/>
      <c r="LL39" s="229"/>
      <c r="LM39" s="229"/>
      <c r="LN39" s="229"/>
      <c r="LO39" s="229"/>
      <c r="LP39" s="229"/>
      <c r="LQ39" s="229"/>
      <c r="LR39" s="229"/>
      <c r="LS39" s="229"/>
      <c r="LT39" s="229"/>
      <c r="LU39" s="229"/>
      <c r="LV39" s="229"/>
      <c r="LW39" s="229"/>
      <c r="LX39" s="229"/>
      <c r="LY39" s="229"/>
      <c r="LZ39" s="229"/>
      <c r="MA39" s="229"/>
      <c r="MB39" s="229"/>
      <c r="MC39" s="229"/>
      <c r="MD39" s="229"/>
      <c r="ME39" s="229"/>
      <c r="MF39" s="229"/>
      <c r="MG39" s="229"/>
      <c r="MH39" s="229"/>
      <c r="MI39" s="229"/>
      <c r="MJ39" s="229"/>
      <c r="MK39" s="229"/>
      <c r="ML39" s="229"/>
      <c r="MM39" s="229"/>
      <c r="MN39" s="229"/>
      <c r="MO39" s="229"/>
      <c r="MP39" s="229"/>
      <c r="MQ39" s="229"/>
      <c r="MR39" s="229"/>
      <c r="MS39" s="229"/>
      <c r="MT39" s="229"/>
      <c r="MU39" s="229"/>
      <c r="MV39" s="229"/>
      <c r="MW39" s="229"/>
      <c r="MX39" s="229"/>
      <c r="MY39" s="663">
        <f t="shared" si="0"/>
        <v>0</v>
      </c>
      <c r="MZ39" s="663">
        <f t="shared" si="1"/>
        <v>0</v>
      </c>
      <c r="NA39" s="663">
        <f t="shared" si="2"/>
        <v>0</v>
      </c>
      <c r="NB39" s="663">
        <f t="shared" si="3"/>
        <v>0</v>
      </c>
      <c r="NC39" s="663"/>
    </row>
    <row r="40" spans="1:367" s="223" customFormat="1" ht="21.75" customHeight="1" x14ac:dyDescent="0.25">
      <c r="A40" s="208" t="s">
        <v>273</v>
      </c>
      <c r="B40" s="222" t="s">
        <v>768</v>
      </c>
      <c r="C40" s="21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48"/>
      <c r="AC40" s="248"/>
      <c r="AD40" s="248"/>
      <c r="AE40" s="248"/>
      <c r="AF40" s="248"/>
      <c r="AG40" s="248"/>
      <c r="AH40" s="248"/>
      <c r="AI40" s="248"/>
      <c r="AJ40" s="248"/>
      <c r="AK40" s="248"/>
      <c r="AL40" s="248"/>
      <c r="AM40" s="248"/>
      <c r="AN40" s="300">
        <f>(642944250+1150445+87312915+63513436)+1440030000</f>
        <v>2234951046</v>
      </c>
      <c r="AO40" s="300">
        <f>(642944250+1150445+87312915+63513436)+1440030000</f>
        <v>2234951046</v>
      </c>
      <c r="AP40" s="300">
        <f>3604217267-AP41</f>
        <v>2234951046</v>
      </c>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248"/>
      <c r="CO40" s="248"/>
      <c r="CP40" s="248"/>
      <c r="CQ40" s="248"/>
      <c r="CR40" s="248"/>
      <c r="CS40" s="248"/>
      <c r="CT40" s="248"/>
      <c r="CU40" s="248"/>
      <c r="CV40" s="248"/>
      <c r="CW40" s="248"/>
      <c r="CX40" s="248"/>
      <c r="CY40" s="248"/>
      <c r="CZ40" s="248"/>
      <c r="DA40" s="248"/>
      <c r="DB40" s="248"/>
      <c r="DC40" s="248"/>
      <c r="DD40" s="248"/>
      <c r="DE40" s="248"/>
      <c r="DF40" s="248"/>
      <c r="DG40" s="248"/>
      <c r="DH40" s="248"/>
      <c r="DI40" s="248"/>
      <c r="DJ40" s="248"/>
      <c r="DK40" s="248"/>
      <c r="DL40" s="248"/>
      <c r="DM40" s="248"/>
      <c r="DN40" s="248"/>
      <c r="DO40" s="248"/>
      <c r="DP40" s="248"/>
      <c r="DQ40" s="248"/>
      <c r="DR40" s="248"/>
      <c r="DS40" s="248"/>
      <c r="DT40" s="248"/>
      <c r="DU40" s="248"/>
      <c r="DV40" s="248"/>
      <c r="DW40" s="248"/>
      <c r="DX40" s="248"/>
      <c r="DY40" s="248"/>
      <c r="DZ40" s="248"/>
      <c r="EA40" s="248"/>
      <c r="EB40" s="248"/>
      <c r="EC40" s="248"/>
      <c r="ED40" s="248"/>
      <c r="EE40" s="248"/>
      <c r="EF40" s="248"/>
      <c r="EG40" s="248"/>
      <c r="EH40" s="248"/>
      <c r="EI40" s="248"/>
      <c r="EJ40" s="248"/>
      <c r="EK40" s="248"/>
      <c r="EL40" s="248"/>
      <c r="EM40" s="248"/>
      <c r="EN40" s="248"/>
      <c r="EO40" s="248"/>
      <c r="EP40" s="248"/>
      <c r="EQ40" s="248"/>
      <c r="ER40" s="248"/>
      <c r="ES40" s="248"/>
      <c r="ET40" s="248"/>
      <c r="EU40" s="248"/>
      <c r="EV40" s="248"/>
      <c r="EW40" s="248"/>
      <c r="EX40" s="248"/>
      <c r="EY40" s="248"/>
      <c r="EZ40" s="248"/>
      <c r="FA40" s="248"/>
      <c r="FB40" s="248"/>
      <c r="FC40" s="248"/>
      <c r="FD40" s="248"/>
      <c r="FE40" s="248"/>
      <c r="FF40" s="248"/>
      <c r="FG40" s="248"/>
      <c r="FH40" s="248"/>
      <c r="FI40" s="248"/>
      <c r="FJ40" s="248"/>
      <c r="FK40" s="248"/>
      <c r="FL40" s="248"/>
      <c r="FM40" s="248"/>
      <c r="FN40" s="248"/>
      <c r="FO40" s="248"/>
      <c r="FP40" s="248"/>
      <c r="FQ40" s="248"/>
      <c r="FR40" s="248"/>
      <c r="FS40" s="248"/>
      <c r="FT40" s="248"/>
      <c r="FU40" s="248"/>
      <c r="FV40" s="248"/>
      <c r="FW40" s="248"/>
      <c r="FX40" s="248"/>
      <c r="FY40" s="248"/>
      <c r="FZ40" s="248"/>
      <c r="GA40" s="248"/>
      <c r="GB40" s="248"/>
      <c r="GC40" s="248"/>
      <c r="GD40" s="248"/>
      <c r="GE40" s="248"/>
      <c r="GF40" s="248"/>
      <c r="GG40" s="248"/>
      <c r="GH40" s="248"/>
      <c r="GI40" s="248"/>
      <c r="GJ40" s="248"/>
      <c r="GK40" s="248"/>
      <c r="GL40" s="248"/>
      <c r="GM40" s="248"/>
      <c r="GN40" s="248"/>
      <c r="GO40" s="248"/>
      <c r="GP40" s="248"/>
      <c r="GQ40" s="248"/>
      <c r="GR40" s="248"/>
      <c r="GS40" s="248"/>
      <c r="GT40" s="248"/>
      <c r="GU40" s="248"/>
      <c r="GV40" s="248"/>
      <c r="GW40" s="248"/>
      <c r="GX40" s="248"/>
      <c r="GY40" s="248"/>
      <c r="GZ40" s="248"/>
      <c r="HA40" s="248"/>
      <c r="HB40" s="248"/>
      <c r="HC40" s="248"/>
      <c r="HD40" s="248"/>
      <c r="HE40" s="248"/>
      <c r="HF40" s="248"/>
      <c r="HG40" s="248"/>
      <c r="HH40" s="248"/>
      <c r="HI40" s="248"/>
      <c r="HJ40" s="248"/>
      <c r="HK40" s="248"/>
      <c r="HL40" s="248"/>
      <c r="HM40" s="248"/>
      <c r="HN40" s="248"/>
      <c r="HO40" s="248"/>
      <c r="HP40" s="248"/>
      <c r="HQ40" s="248"/>
      <c r="HR40" s="248"/>
      <c r="HS40" s="248"/>
      <c r="HT40" s="248"/>
      <c r="HU40" s="248"/>
      <c r="HV40" s="248"/>
      <c r="HW40" s="248"/>
      <c r="HX40" s="248"/>
      <c r="HY40" s="248"/>
      <c r="HZ40" s="248"/>
      <c r="IA40" s="248"/>
      <c r="IB40" s="248"/>
      <c r="IC40" s="248"/>
      <c r="ID40" s="248"/>
      <c r="IE40" s="248"/>
      <c r="IF40" s="248"/>
      <c r="IG40" s="248"/>
      <c r="IH40" s="248"/>
      <c r="II40" s="248"/>
      <c r="IJ40" s="248"/>
      <c r="IK40" s="248"/>
      <c r="IL40" s="248"/>
      <c r="IM40" s="248"/>
      <c r="IN40" s="248"/>
      <c r="IO40" s="248"/>
      <c r="IP40" s="248"/>
      <c r="IQ40" s="248"/>
      <c r="IR40" s="248"/>
      <c r="IS40" s="248"/>
      <c r="IT40" s="248"/>
      <c r="IU40" s="248"/>
      <c r="IV40" s="248"/>
      <c r="IW40" s="248"/>
      <c r="IX40" s="248"/>
      <c r="IY40" s="248"/>
      <c r="IZ40" s="248"/>
      <c r="JA40" s="248"/>
      <c r="JB40" s="248"/>
      <c r="JC40" s="248"/>
      <c r="JD40" s="248"/>
      <c r="JE40" s="248"/>
      <c r="JF40" s="248"/>
      <c r="JG40" s="248"/>
      <c r="JH40" s="248"/>
      <c r="JI40" s="248"/>
      <c r="JJ40" s="248"/>
      <c r="JK40" s="248"/>
      <c r="JL40" s="248"/>
      <c r="JM40" s="248"/>
      <c r="JN40" s="248"/>
      <c r="JO40" s="248"/>
      <c r="JP40" s="248"/>
      <c r="JQ40" s="248"/>
      <c r="JR40" s="248"/>
      <c r="JS40" s="248"/>
      <c r="JT40" s="248"/>
      <c r="JU40" s="248"/>
      <c r="JV40" s="248"/>
      <c r="JW40" s="248"/>
      <c r="JX40" s="248"/>
      <c r="JY40" s="248"/>
      <c r="JZ40" s="248"/>
      <c r="KA40" s="248"/>
      <c r="KB40" s="248"/>
      <c r="KC40" s="248"/>
      <c r="KD40" s="248"/>
      <c r="KE40" s="248"/>
      <c r="KF40" s="248"/>
      <c r="KG40" s="248"/>
      <c r="KH40" s="248"/>
      <c r="KI40" s="248"/>
      <c r="KJ40" s="248"/>
      <c r="KK40" s="248"/>
      <c r="KL40" s="248"/>
      <c r="KM40" s="248"/>
      <c r="KN40" s="248"/>
      <c r="KO40" s="248"/>
      <c r="KP40" s="248"/>
      <c r="KQ40" s="248"/>
      <c r="KR40" s="248"/>
      <c r="KS40" s="248"/>
      <c r="KT40" s="248"/>
      <c r="KU40" s="248"/>
      <c r="KV40" s="248"/>
      <c r="KW40" s="248"/>
      <c r="KX40" s="248"/>
      <c r="KY40" s="248"/>
      <c r="KZ40" s="248"/>
      <c r="LA40" s="248"/>
      <c r="LB40" s="248"/>
      <c r="LC40" s="248"/>
      <c r="LD40" s="248"/>
      <c r="LE40" s="248"/>
      <c r="LF40" s="248"/>
      <c r="LG40" s="248"/>
      <c r="LH40" s="248"/>
      <c r="LI40" s="248"/>
      <c r="LJ40" s="248"/>
      <c r="LK40" s="248"/>
      <c r="LL40" s="248"/>
      <c r="LM40" s="248"/>
      <c r="LN40" s="248"/>
      <c r="LO40" s="248"/>
      <c r="LP40" s="248"/>
      <c r="LQ40" s="248"/>
      <c r="LR40" s="248"/>
      <c r="LS40" s="248"/>
      <c r="LT40" s="248"/>
      <c r="LU40" s="248"/>
      <c r="LV40" s="248"/>
      <c r="LW40" s="248"/>
      <c r="LX40" s="248"/>
      <c r="LY40" s="248"/>
      <c r="LZ40" s="248"/>
      <c r="MA40" s="248"/>
      <c r="MB40" s="248"/>
      <c r="MC40" s="248"/>
      <c r="MD40" s="248"/>
      <c r="ME40" s="248"/>
      <c r="MF40" s="248"/>
      <c r="MG40" s="248"/>
      <c r="MH40" s="248"/>
      <c r="MI40" s="248"/>
      <c r="MJ40" s="248"/>
      <c r="MK40" s="248"/>
      <c r="ML40" s="248"/>
      <c r="MM40" s="248"/>
      <c r="MN40" s="248"/>
      <c r="MO40" s="248"/>
      <c r="MP40" s="248"/>
      <c r="MQ40" s="248"/>
      <c r="MR40" s="248"/>
      <c r="MS40" s="248"/>
      <c r="MT40" s="248"/>
      <c r="MU40" s="248"/>
      <c r="MV40" s="248"/>
      <c r="MW40" s="248"/>
      <c r="MX40" s="248"/>
      <c r="MY40" s="663">
        <f t="shared" si="0"/>
        <v>2234951046</v>
      </c>
      <c r="MZ40" s="663">
        <f t="shared" si="1"/>
        <v>2234951046</v>
      </c>
      <c r="NA40" s="663">
        <f t="shared" si="2"/>
        <v>0</v>
      </c>
      <c r="NB40" s="663">
        <f t="shared" si="3"/>
        <v>0</v>
      </c>
      <c r="NC40" s="667"/>
    </row>
    <row r="41" spans="1:367" s="223" customFormat="1" ht="21.75" customHeight="1" x14ac:dyDescent="0.25">
      <c r="A41" s="208" t="s">
        <v>277</v>
      </c>
      <c r="B41" s="222" t="s">
        <v>769</v>
      </c>
      <c r="C41" s="21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8"/>
      <c r="AC41" s="248"/>
      <c r="AD41" s="248"/>
      <c r="AE41" s="248"/>
      <c r="AF41" s="248"/>
      <c r="AG41" s="248"/>
      <c r="AH41" s="248"/>
      <c r="AI41" s="248"/>
      <c r="AJ41" s="248"/>
      <c r="AK41" s="248"/>
      <c r="AL41" s="248"/>
      <c r="AM41" s="248"/>
      <c r="AN41" s="300">
        <f>(480000000+373990120+374731+66322692+28348488)+309970000</f>
        <v>1259006031</v>
      </c>
      <c r="AO41" s="300">
        <f>(480000000+373990120+374731+66322692+28348488)+309970000+110260190</f>
        <v>1369266221</v>
      </c>
      <c r="AP41" s="300">
        <v>1369266221</v>
      </c>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8"/>
      <c r="DE41" s="248"/>
      <c r="DF41" s="248"/>
      <c r="DG41" s="248"/>
      <c r="DH41" s="248"/>
      <c r="DI41" s="248"/>
      <c r="DJ41" s="248"/>
      <c r="DK41" s="248"/>
      <c r="DL41" s="248"/>
      <c r="DM41" s="248"/>
      <c r="DN41" s="248"/>
      <c r="DO41" s="248"/>
      <c r="DP41" s="248"/>
      <c r="DQ41" s="248"/>
      <c r="DR41" s="248"/>
      <c r="DS41" s="248"/>
      <c r="DT41" s="248"/>
      <c r="DU41" s="248"/>
      <c r="DV41" s="248"/>
      <c r="DW41" s="248"/>
      <c r="DX41" s="248"/>
      <c r="DY41" s="248"/>
      <c r="DZ41" s="248"/>
      <c r="EA41" s="248"/>
      <c r="EB41" s="248"/>
      <c r="EC41" s="248"/>
      <c r="ED41" s="248"/>
      <c r="EE41" s="248"/>
      <c r="EF41" s="248"/>
      <c r="EG41" s="248"/>
      <c r="EH41" s="248"/>
      <c r="EI41" s="248"/>
      <c r="EJ41" s="248"/>
      <c r="EK41" s="248"/>
      <c r="EL41" s="248"/>
      <c r="EM41" s="248"/>
      <c r="EN41" s="248"/>
      <c r="EO41" s="248"/>
      <c r="EP41" s="248"/>
      <c r="EQ41" s="248"/>
      <c r="ER41" s="248"/>
      <c r="ES41" s="248"/>
      <c r="ET41" s="248"/>
      <c r="EU41" s="248"/>
      <c r="EV41" s="248"/>
      <c r="EW41" s="248"/>
      <c r="EX41" s="248"/>
      <c r="EY41" s="248"/>
      <c r="EZ41" s="248"/>
      <c r="FA41" s="248"/>
      <c r="FB41" s="248"/>
      <c r="FC41" s="248"/>
      <c r="FD41" s="248"/>
      <c r="FE41" s="248"/>
      <c r="FF41" s="248"/>
      <c r="FG41" s="248"/>
      <c r="FH41" s="248"/>
      <c r="FI41" s="248"/>
      <c r="FJ41" s="248"/>
      <c r="FK41" s="248"/>
      <c r="FL41" s="248"/>
      <c r="FM41" s="248"/>
      <c r="FN41" s="248"/>
      <c r="FO41" s="248"/>
      <c r="FP41" s="248"/>
      <c r="FQ41" s="248"/>
      <c r="FR41" s="248"/>
      <c r="FS41" s="248"/>
      <c r="FT41" s="248"/>
      <c r="FU41" s="248"/>
      <c r="FV41" s="248"/>
      <c r="FW41" s="248"/>
      <c r="FX41" s="248"/>
      <c r="FY41" s="248"/>
      <c r="FZ41" s="248"/>
      <c r="GA41" s="248"/>
      <c r="GB41" s="248"/>
      <c r="GC41" s="248"/>
      <c r="GD41" s="248"/>
      <c r="GE41" s="248"/>
      <c r="GF41" s="248"/>
      <c r="GG41" s="248"/>
      <c r="GH41" s="248"/>
      <c r="GI41" s="248"/>
      <c r="GJ41" s="248"/>
      <c r="GK41" s="248"/>
      <c r="GL41" s="248"/>
      <c r="GM41" s="248"/>
      <c r="GN41" s="248"/>
      <c r="GO41" s="248"/>
      <c r="GP41" s="248"/>
      <c r="GQ41" s="248"/>
      <c r="GR41" s="248"/>
      <c r="GS41" s="248"/>
      <c r="GT41" s="248"/>
      <c r="GU41" s="248"/>
      <c r="GV41" s="248"/>
      <c r="GW41" s="248"/>
      <c r="GX41" s="248"/>
      <c r="GY41" s="248"/>
      <c r="GZ41" s="248"/>
      <c r="HA41" s="248"/>
      <c r="HB41" s="248"/>
      <c r="HC41" s="248"/>
      <c r="HD41" s="248"/>
      <c r="HE41" s="248"/>
      <c r="HF41" s="248"/>
      <c r="HG41" s="248"/>
      <c r="HH41" s="248"/>
      <c r="HI41" s="248"/>
      <c r="HJ41" s="248"/>
      <c r="HK41" s="248"/>
      <c r="HL41" s="248"/>
      <c r="HM41" s="248"/>
      <c r="HN41" s="248"/>
      <c r="HO41" s="248"/>
      <c r="HP41" s="248"/>
      <c r="HQ41" s="248"/>
      <c r="HR41" s="248"/>
      <c r="HS41" s="248"/>
      <c r="HT41" s="248"/>
      <c r="HU41" s="248"/>
      <c r="HV41" s="248"/>
      <c r="HW41" s="248"/>
      <c r="HX41" s="248"/>
      <c r="HY41" s="248"/>
      <c r="HZ41" s="248"/>
      <c r="IA41" s="248"/>
      <c r="IB41" s="248"/>
      <c r="IC41" s="248"/>
      <c r="ID41" s="248"/>
      <c r="IE41" s="248"/>
      <c r="IF41" s="248"/>
      <c r="IG41" s="248"/>
      <c r="IH41" s="248"/>
      <c r="II41" s="248"/>
      <c r="IJ41" s="248"/>
      <c r="IK41" s="248"/>
      <c r="IL41" s="248"/>
      <c r="IM41" s="248"/>
      <c r="IN41" s="248"/>
      <c r="IO41" s="248"/>
      <c r="IP41" s="248"/>
      <c r="IQ41" s="248"/>
      <c r="IR41" s="248"/>
      <c r="IS41" s="248"/>
      <c r="IT41" s="248"/>
      <c r="IU41" s="248"/>
      <c r="IV41" s="248"/>
      <c r="IW41" s="248"/>
      <c r="IX41" s="248"/>
      <c r="IY41" s="248"/>
      <c r="IZ41" s="248"/>
      <c r="JA41" s="248"/>
      <c r="JB41" s="248"/>
      <c r="JC41" s="248"/>
      <c r="JD41" s="248"/>
      <c r="JE41" s="248"/>
      <c r="JF41" s="248"/>
      <c r="JG41" s="248"/>
      <c r="JH41" s="248"/>
      <c r="JI41" s="248"/>
      <c r="JJ41" s="248"/>
      <c r="JK41" s="248"/>
      <c r="JL41" s="248"/>
      <c r="JM41" s="248"/>
      <c r="JN41" s="248"/>
      <c r="JO41" s="248"/>
      <c r="JP41" s="248"/>
      <c r="JQ41" s="248"/>
      <c r="JR41" s="248"/>
      <c r="JS41" s="248"/>
      <c r="JT41" s="248"/>
      <c r="JU41" s="248"/>
      <c r="JV41" s="248"/>
      <c r="JW41" s="248"/>
      <c r="JX41" s="248"/>
      <c r="JY41" s="248"/>
      <c r="JZ41" s="248"/>
      <c r="KA41" s="248"/>
      <c r="KB41" s="248"/>
      <c r="KC41" s="248"/>
      <c r="KD41" s="248"/>
      <c r="KE41" s="248"/>
      <c r="KF41" s="248"/>
      <c r="KG41" s="248"/>
      <c r="KH41" s="248"/>
      <c r="KI41" s="248"/>
      <c r="KJ41" s="248"/>
      <c r="KK41" s="248"/>
      <c r="KL41" s="248"/>
      <c r="KM41" s="248"/>
      <c r="KN41" s="248"/>
      <c r="KO41" s="248"/>
      <c r="KP41" s="248"/>
      <c r="KQ41" s="248"/>
      <c r="KR41" s="248"/>
      <c r="KS41" s="248"/>
      <c r="KT41" s="248"/>
      <c r="KU41" s="248"/>
      <c r="KV41" s="248"/>
      <c r="KW41" s="248"/>
      <c r="KX41" s="248"/>
      <c r="KY41" s="248"/>
      <c r="KZ41" s="248"/>
      <c r="LA41" s="248"/>
      <c r="LB41" s="248"/>
      <c r="LC41" s="248"/>
      <c r="LD41" s="248"/>
      <c r="LE41" s="248"/>
      <c r="LF41" s="248"/>
      <c r="LG41" s="248"/>
      <c r="LH41" s="248"/>
      <c r="LI41" s="248"/>
      <c r="LJ41" s="248"/>
      <c r="LK41" s="248"/>
      <c r="LL41" s="248"/>
      <c r="LM41" s="248"/>
      <c r="LN41" s="248"/>
      <c r="LO41" s="248"/>
      <c r="LP41" s="248"/>
      <c r="LQ41" s="248"/>
      <c r="LR41" s="248"/>
      <c r="LS41" s="248"/>
      <c r="LT41" s="248"/>
      <c r="LU41" s="248"/>
      <c r="LV41" s="248"/>
      <c r="LW41" s="248"/>
      <c r="LX41" s="248"/>
      <c r="LY41" s="248"/>
      <c r="LZ41" s="248"/>
      <c r="MA41" s="248"/>
      <c r="MB41" s="248"/>
      <c r="MC41" s="248"/>
      <c r="MD41" s="248"/>
      <c r="ME41" s="248"/>
      <c r="MF41" s="248"/>
      <c r="MG41" s="248"/>
      <c r="MH41" s="248"/>
      <c r="MI41" s="248"/>
      <c r="MJ41" s="248"/>
      <c r="MK41" s="248"/>
      <c r="ML41" s="248"/>
      <c r="MM41" s="248"/>
      <c r="MN41" s="248"/>
      <c r="MO41" s="248"/>
      <c r="MP41" s="248"/>
      <c r="MQ41" s="248"/>
      <c r="MR41" s="248"/>
      <c r="MS41" s="248"/>
      <c r="MT41" s="248"/>
      <c r="MU41" s="248"/>
      <c r="MV41" s="248"/>
      <c r="MW41" s="248"/>
      <c r="MX41" s="248"/>
      <c r="MY41" s="663">
        <f t="shared" si="0"/>
        <v>1369266221</v>
      </c>
      <c r="MZ41" s="663">
        <f t="shared" si="1"/>
        <v>1369266221</v>
      </c>
      <c r="NA41" s="663">
        <f t="shared" si="2"/>
        <v>0</v>
      </c>
      <c r="NB41" s="663">
        <f t="shared" si="3"/>
        <v>0</v>
      </c>
      <c r="NC41" s="667"/>
    </row>
    <row r="42" spans="1:367" s="223" customFormat="1" ht="21.75" customHeight="1" x14ac:dyDescent="0.25">
      <c r="A42" s="208" t="s">
        <v>278</v>
      </c>
      <c r="B42" s="222" t="s">
        <v>506</v>
      </c>
      <c r="C42" s="21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c r="DV42" s="248"/>
      <c r="DW42" s="248"/>
      <c r="DX42" s="248"/>
      <c r="DY42" s="248"/>
      <c r="DZ42" s="248"/>
      <c r="EA42" s="248"/>
      <c r="EB42" s="248"/>
      <c r="EC42" s="248"/>
      <c r="ED42" s="248"/>
      <c r="EE42" s="248"/>
      <c r="EF42" s="248"/>
      <c r="EG42" s="248"/>
      <c r="EH42" s="248"/>
      <c r="EI42" s="248"/>
      <c r="EJ42" s="248"/>
      <c r="EK42" s="248"/>
      <c r="EL42" s="248"/>
      <c r="EM42" s="248"/>
      <c r="EN42" s="248"/>
      <c r="EO42" s="248"/>
      <c r="EP42" s="248"/>
      <c r="EQ42" s="248"/>
      <c r="ER42" s="248"/>
      <c r="ES42" s="248"/>
      <c r="ET42" s="248"/>
      <c r="EU42" s="248"/>
      <c r="EV42" s="248"/>
      <c r="EW42" s="248"/>
      <c r="EX42" s="248"/>
      <c r="EY42" s="248"/>
      <c r="EZ42" s="248"/>
      <c r="FA42" s="248"/>
      <c r="FB42" s="248"/>
      <c r="FC42" s="248"/>
      <c r="FD42" s="248"/>
      <c r="FE42" s="248"/>
      <c r="FF42" s="248"/>
      <c r="FG42" s="248"/>
      <c r="FH42" s="248"/>
      <c r="FI42" s="248"/>
      <c r="FJ42" s="248"/>
      <c r="FK42" s="248"/>
      <c r="FL42" s="248"/>
      <c r="FM42" s="248"/>
      <c r="FN42" s="248"/>
      <c r="FO42" s="248"/>
      <c r="FP42" s="248"/>
      <c r="FQ42" s="248"/>
      <c r="FR42" s="248"/>
      <c r="FS42" s="248"/>
      <c r="FT42" s="248"/>
      <c r="FU42" s="248"/>
      <c r="FV42" s="248"/>
      <c r="FW42" s="248"/>
      <c r="FX42" s="248"/>
      <c r="FY42" s="248"/>
      <c r="FZ42" s="248"/>
      <c r="GA42" s="248"/>
      <c r="GB42" s="248"/>
      <c r="GC42" s="248"/>
      <c r="GD42" s="248"/>
      <c r="GE42" s="248"/>
      <c r="GF42" s="248"/>
      <c r="GG42" s="248"/>
      <c r="GH42" s="248"/>
      <c r="GI42" s="248"/>
      <c r="GJ42" s="248"/>
      <c r="GK42" s="248"/>
      <c r="GL42" s="248"/>
      <c r="GM42" s="248"/>
      <c r="GN42" s="248"/>
      <c r="GO42" s="248"/>
      <c r="GP42" s="248"/>
      <c r="GQ42" s="248"/>
      <c r="GR42" s="248"/>
      <c r="GS42" s="248"/>
      <c r="GT42" s="248"/>
      <c r="GU42" s="248"/>
      <c r="GV42" s="248"/>
      <c r="GW42" s="248"/>
      <c r="GX42" s="248"/>
      <c r="GY42" s="248"/>
      <c r="GZ42" s="248"/>
      <c r="HA42" s="248"/>
      <c r="HB42" s="248"/>
      <c r="HC42" s="248"/>
      <c r="HD42" s="248"/>
      <c r="HE42" s="248"/>
      <c r="HF42" s="248"/>
      <c r="HG42" s="248"/>
      <c r="HH42" s="248"/>
      <c r="HI42" s="248"/>
      <c r="HJ42" s="248"/>
      <c r="HK42" s="248"/>
      <c r="HL42" s="248"/>
      <c r="HM42" s="248"/>
      <c r="HN42" s="248"/>
      <c r="HO42" s="248"/>
      <c r="HP42" s="248"/>
      <c r="HQ42" s="248"/>
      <c r="HR42" s="248"/>
      <c r="HS42" s="248"/>
      <c r="HT42" s="248"/>
      <c r="HU42" s="248"/>
      <c r="HV42" s="248"/>
      <c r="HW42" s="248"/>
      <c r="HX42" s="248"/>
      <c r="HY42" s="248"/>
      <c r="HZ42" s="248"/>
      <c r="IA42" s="248"/>
      <c r="IB42" s="248"/>
      <c r="IC42" s="248"/>
      <c r="ID42" s="248"/>
      <c r="IE42" s="248"/>
      <c r="IF42" s="248"/>
      <c r="IG42" s="248"/>
      <c r="IH42" s="248"/>
      <c r="II42" s="248"/>
      <c r="IJ42" s="248"/>
      <c r="IK42" s="248"/>
      <c r="IL42" s="248"/>
      <c r="IM42" s="248"/>
      <c r="IN42" s="248"/>
      <c r="IO42" s="248"/>
      <c r="IP42" s="248"/>
      <c r="IQ42" s="248"/>
      <c r="IR42" s="248"/>
      <c r="IS42" s="248"/>
      <c r="IT42" s="248"/>
      <c r="IU42" s="248"/>
      <c r="IV42" s="248"/>
      <c r="IW42" s="248"/>
      <c r="IX42" s="248"/>
      <c r="IY42" s="248"/>
      <c r="IZ42" s="248"/>
      <c r="JA42" s="248"/>
      <c r="JB42" s="248"/>
      <c r="JC42" s="248"/>
      <c r="JD42" s="248"/>
      <c r="JE42" s="248"/>
      <c r="JF42" s="248"/>
      <c r="JG42" s="248"/>
      <c r="JH42" s="248"/>
      <c r="JI42" s="248"/>
      <c r="JJ42" s="248"/>
      <c r="JK42" s="248"/>
      <c r="JL42" s="248"/>
      <c r="JM42" s="248"/>
      <c r="JN42" s="248"/>
      <c r="JO42" s="248"/>
      <c r="JP42" s="248"/>
      <c r="JQ42" s="248"/>
      <c r="JR42" s="248"/>
      <c r="JS42" s="248"/>
      <c r="JT42" s="248"/>
      <c r="JU42" s="248"/>
      <c r="JV42" s="248"/>
      <c r="JW42" s="248"/>
      <c r="JX42" s="248"/>
      <c r="JY42" s="248"/>
      <c r="JZ42" s="248"/>
      <c r="KA42" s="248"/>
      <c r="KB42" s="248"/>
      <c r="KC42" s="248"/>
      <c r="KD42" s="248"/>
      <c r="KE42" s="248"/>
      <c r="KF42" s="248"/>
      <c r="KG42" s="248"/>
      <c r="KH42" s="248"/>
      <c r="KI42" s="248"/>
      <c r="KJ42" s="248"/>
      <c r="KK42" s="248"/>
      <c r="KL42" s="248"/>
      <c r="KM42" s="248"/>
      <c r="KN42" s="248"/>
      <c r="KO42" s="248"/>
      <c r="KP42" s="248"/>
      <c r="KQ42" s="248"/>
      <c r="KR42" s="248"/>
      <c r="KS42" s="248"/>
      <c r="KT42" s="248"/>
      <c r="KU42" s="248"/>
      <c r="KV42" s="248"/>
      <c r="KW42" s="248"/>
      <c r="KX42" s="248"/>
      <c r="KY42" s="248"/>
      <c r="KZ42" s="248"/>
      <c r="LA42" s="248"/>
      <c r="LB42" s="248"/>
      <c r="LC42" s="248"/>
      <c r="LD42" s="248"/>
      <c r="LE42" s="248"/>
      <c r="LF42" s="248"/>
      <c r="LG42" s="248"/>
      <c r="LH42" s="248"/>
      <c r="LI42" s="248"/>
      <c r="LJ42" s="248"/>
      <c r="LK42" s="248"/>
      <c r="LL42" s="248"/>
      <c r="LM42" s="248"/>
      <c r="LN42" s="248"/>
      <c r="LO42" s="248"/>
      <c r="LP42" s="248"/>
      <c r="LQ42" s="248"/>
      <c r="LR42" s="248"/>
      <c r="LS42" s="248"/>
      <c r="LT42" s="248"/>
      <c r="LU42" s="248"/>
      <c r="LV42" s="248"/>
      <c r="LW42" s="248"/>
      <c r="LX42" s="248"/>
      <c r="LY42" s="248"/>
      <c r="LZ42" s="248"/>
      <c r="MA42" s="248"/>
      <c r="MB42" s="248"/>
      <c r="MC42" s="248"/>
      <c r="MD42" s="248"/>
      <c r="ME42" s="248"/>
      <c r="MF42" s="248"/>
      <c r="MG42" s="248"/>
      <c r="MH42" s="248"/>
      <c r="MI42" s="248"/>
      <c r="MJ42" s="248"/>
      <c r="MK42" s="248"/>
      <c r="ML42" s="248"/>
      <c r="MM42" s="248"/>
      <c r="MN42" s="248"/>
      <c r="MO42" s="248"/>
      <c r="MP42" s="248"/>
      <c r="MQ42" s="248"/>
      <c r="MR42" s="248"/>
      <c r="MS42" s="248"/>
      <c r="MT42" s="248"/>
      <c r="MU42" s="248"/>
      <c r="MV42" s="248"/>
      <c r="MW42" s="248"/>
      <c r="MX42" s="248"/>
      <c r="MY42" s="663">
        <f t="shared" si="0"/>
        <v>0</v>
      </c>
      <c r="MZ42" s="663">
        <f t="shared" si="1"/>
        <v>0</v>
      </c>
      <c r="NA42" s="663">
        <f t="shared" si="2"/>
        <v>0</v>
      </c>
      <c r="NB42" s="663">
        <f t="shared" si="3"/>
        <v>0</v>
      </c>
      <c r="NC42" s="667"/>
    </row>
    <row r="43" spans="1:367" s="223" customFormat="1" ht="21.75" customHeight="1" x14ac:dyDescent="0.25">
      <c r="A43" s="208" t="s">
        <v>279</v>
      </c>
      <c r="B43" s="222" t="s">
        <v>507</v>
      </c>
      <c r="C43" s="21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c r="DM43" s="248"/>
      <c r="DN43" s="248"/>
      <c r="DO43" s="248"/>
      <c r="DP43" s="248"/>
      <c r="DQ43" s="248"/>
      <c r="DR43" s="248"/>
      <c r="DS43" s="248"/>
      <c r="DT43" s="248"/>
      <c r="DU43" s="248"/>
      <c r="DV43" s="248"/>
      <c r="DW43" s="248"/>
      <c r="DX43" s="248"/>
      <c r="DY43" s="248"/>
      <c r="DZ43" s="248"/>
      <c r="EA43" s="248"/>
      <c r="EB43" s="248"/>
      <c r="EC43" s="248"/>
      <c r="ED43" s="248"/>
      <c r="EE43" s="248"/>
      <c r="EF43" s="248"/>
      <c r="EG43" s="248"/>
      <c r="EH43" s="248"/>
      <c r="EI43" s="248"/>
      <c r="EJ43" s="248"/>
      <c r="EK43" s="248"/>
      <c r="EL43" s="248"/>
      <c r="EM43" s="248"/>
      <c r="EN43" s="248"/>
      <c r="EO43" s="248"/>
      <c r="EP43" s="248"/>
      <c r="EQ43" s="248"/>
      <c r="ER43" s="248"/>
      <c r="ES43" s="248"/>
      <c r="ET43" s="248"/>
      <c r="EU43" s="248"/>
      <c r="EV43" s="248"/>
      <c r="EW43" s="248"/>
      <c r="EX43" s="248"/>
      <c r="EY43" s="248"/>
      <c r="EZ43" s="248"/>
      <c r="FA43" s="248"/>
      <c r="FB43" s="248"/>
      <c r="FC43" s="248"/>
      <c r="FD43" s="248"/>
      <c r="FE43" s="248"/>
      <c r="FF43" s="248"/>
      <c r="FG43" s="248"/>
      <c r="FH43" s="248"/>
      <c r="FI43" s="248"/>
      <c r="FJ43" s="248"/>
      <c r="FK43" s="248"/>
      <c r="FL43" s="248"/>
      <c r="FM43" s="248"/>
      <c r="FN43" s="248"/>
      <c r="FO43" s="248"/>
      <c r="FP43" s="248"/>
      <c r="FQ43" s="248"/>
      <c r="FR43" s="248"/>
      <c r="FS43" s="248"/>
      <c r="FT43" s="248"/>
      <c r="FU43" s="248"/>
      <c r="FV43" s="248"/>
      <c r="FW43" s="248"/>
      <c r="FX43" s="248"/>
      <c r="FY43" s="248"/>
      <c r="FZ43" s="248"/>
      <c r="GA43" s="248"/>
      <c r="GB43" s="248"/>
      <c r="GC43" s="248"/>
      <c r="GD43" s="248"/>
      <c r="GE43" s="248"/>
      <c r="GF43" s="248"/>
      <c r="GG43" s="248"/>
      <c r="GH43" s="248"/>
      <c r="GI43" s="248"/>
      <c r="GJ43" s="248"/>
      <c r="GK43" s="248"/>
      <c r="GL43" s="248"/>
      <c r="GM43" s="248"/>
      <c r="GN43" s="248"/>
      <c r="GO43" s="248"/>
      <c r="GP43" s="248"/>
      <c r="GQ43" s="248"/>
      <c r="GR43" s="248"/>
      <c r="GS43" s="248"/>
      <c r="GT43" s="248"/>
      <c r="GU43" s="248"/>
      <c r="GV43" s="248"/>
      <c r="GW43" s="248"/>
      <c r="GX43" s="248"/>
      <c r="GY43" s="248"/>
      <c r="GZ43" s="248"/>
      <c r="HA43" s="248"/>
      <c r="HB43" s="248"/>
      <c r="HC43" s="248"/>
      <c r="HD43" s="248"/>
      <c r="HE43" s="248"/>
      <c r="HF43" s="248"/>
      <c r="HG43" s="248"/>
      <c r="HH43" s="248"/>
      <c r="HI43" s="248"/>
      <c r="HJ43" s="248"/>
      <c r="HK43" s="248"/>
      <c r="HL43" s="248"/>
      <c r="HM43" s="248"/>
      <c r="HN43" s="248"/>
      <c r="HO43" s="248"/>
      <c r="HP43" s="248"/>
      <c r="HQ43" s="248"/>
      <c r="HR43" s="248"/>
      <c r="HS43" s="248"/>
      <c r="HT43" s="248"/>
      <c r="HU43" s="248"/>
      <c r="HV43" s="248"/>
      <c r="HW43" s="248"/>
      <c r="HX43" s="248"/>
      <c r="HY43" s="248"/>
      <c r="HZ43" s="248"/>
      <c r="IA43" s="248"/>
      <c r="IB43" s="248"/>
      <c r="IC43" s="248"/>
      <c r="ID43" s="248"/>
      <c r="IE43" s="248"/>
      <c r="IF43" s="248"/>
      <c r="IG43" s="248"/>
      <c r="IH43" s="248"/>
      <c r="II43" s="248"/>
      <c r="IJ43" s="248"/>
      <c r="IK43" s="248"/>
      <c r="IL43" s="248"/>
      <c r="IM43" s="248"/>
      <c r="IN43" s="248"/>
      <c r="IO43" s="248"/>
      <c r="IP43" s="248"/>
      <c r="IQ43" s="248"/>
      <c r="IR43" s="248"/>
      <c r="IS43" s="248"/>
      <c r="IT43" s="248"/>
      <c r="IU43" s="248"/>
      <c r="IV43" s="248"/>
      <c r="IW43" s="248"/>
      <c r="IX43" s="248"/>
      <c r="IY43" s="248"/>
      <c r="IZ43" s="248"/>
      <c r="JA43" s="248"/>
      <c r="JB43" s="248"/>
      <c r="JC43" s="248"/>
      <c r="JD43" s="248"/>
      <c r="JE43" s="248"/>
      <c r="JF43" s="248"/>
      <c r="JG43" s="248"/>
      <c r="JH43" s="248"/>
      <c r="JI43" s="248"/>
      <c r="JJ43" s="248"/>
      <c r="JK43" s="248"/>
      <c r="JL43" s="248"/>
      <c r="JM43" s="248"/>
      <c r="JN43" s="248"/>
      <c r="JO43" s="248"/>
      <c r="JP43" s="248"/>
      <c r="JQ43" s="248"/>
      <c r="JR43" s="248"/>
      <c r="JS43" s="248"/>
      <c r="JT43" s="248"/>
      <c r="JU43" s="248"/>
      <c r="JV43" s="248"/>
      <c r="JW43" s="248"/>
      <c r="JX43" s="248"/>
      <c r="JY43" s="248"/>
      <c r="JZ43" s="248"/>
      <c r="KA43" s="248"/>
      <c r="KB43" s="248"/>
      <c r="KC43" s="248"/>
      <c r="KD43" s="248"/>
      <c r="KE43" s="248"/>
      <c r="KF43" s="248"/>
      <c r="KG43" s="248"/>
      <c r="KH43" s="248"/>
      <c r="KI43" s="248"/>
      <c r="KJ43" s="248"/>
      <c r="KK43" s="248"/>
      <c r="KL43" s="248"/>
      <c r="KM43" s="248"/>
      <c r="KN43" s="248"/>
      <c r="KO43" s="248"/>
      <c r="KP43" s="248"/>
      <c r="KQ43" s="248"/>
      <c r="KR43" s="248"/>
      <c r="KS43" s="248"/>
      <c r="KT43" s="248"/>
      <c r="KU43" s="248"/>
      <c r="KV43" s="248"/>
      <c r="KW43" s="248"/>
      <c r="KX43" s="248"/>
      <c r="KY43" s="248"/>
      <c r="KZ43" s="248"/>
      <c r="LA43" s="248"/>
      <c r="LB43" s="248"/>
      <c r="LC43" s="248"/>
      <c r="LD43" s="248"/>
      <c r="LE43" s="248"/>
      <c r="LF43" s="248"/>
      <c r="LG43" s="248"/>
      <c r="LH43" s="248"/>
      <c r="LI43" s="248"/>
      <c r="LJ43" s="248"/>
      <c r="LK43" s="248"/>
      <c r="LL43" s="248"/>
      <c r="LM43" s="248"/>
      <c r="LN43" s="248"/>
      <c r="LO43" s="248"/>
      <c r="LP43" s="248"/>
      <c r="LQ43" s="248"/>
      <c r="LR43" s="248"/>
      <c r="LS43" s="248"/>
      <c r="LT43" s="248"/>
      <c r="LU43" s="248"/>
      <c r="LV43" s="248"/>
      <c r="LW43" s="248"/>
      <c r="LX43" s="248"/>
      <c r="LY43" s="248"/>
      <c r="LZ43" s="248"/>
      <c r="MA43" s="248"/>
      <c r="MB43" s="248"/>
      <c r="MC43" s="248"/>
      <c r="MD43" s="248"/>
      <c r="ME43" s="248"/>
      <c r="MF43" s="248"/>
      <c r="MG43" s="248"/>
      <c r="MH43" s="248"/>
      <c r="MI43" s="248"/>
      <c r="MJ43" s="248"/>
      <c r="MK43" s="248"/>
      <c r="ML43" s="248"/>
      <c r="MM43" s="248"/>
      <c r="MN43" s="248"/>
      <c r="MO43" s="248"/>
      <c r="MP43" s="248"/>
      <c r="MQ43" s="248"/>
      <c r="MR43" s="248"/>
      <c r="MS43" s="248"/>
      <c r="MT43" s="248"/>
      <c r="MU43" s="248"/>
      <c r="MV43" s="248"/>
      <c r="MW43" s="248"/>
      <c r="MX43" s="248"/>
      <c r="MY43" s="663">
        <f t="shared" si="0"/>
        <v>0</v>
      </c>
      <c r="MZ43" s="663">
        <f t="shared" si="1"/>
        <v>0</v>
      </c>
      <c r="NA43" s="663">
        <f t="shared" si="2"/>
        <v>0</v>
      </c>
      <c r="NB43" s="663">
        <f t="shared" si="3"/>
        <v>0</v>
      </c>
      <c r="NC43" s="667"/>
    </row>
    <row r="44" spans="1:367" s="223" customFormat="1" ht="21.75" customHeight="1" x14ac:dyDescent="0.25">
      <c r="A44" s="208" t="s">
        <v>280</v>
      </c>
      <c r="B44" s="222" t="s">
        <v>542</v>
      </c>
      <c r="C44" s="21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c r="CK44" s="248"/>
      <c r="CL44" s="248"/>
      <c r="CM44" s="248"/>
      <c r="CN44" s="248"/>
      <c r="CO44" s="248"/>
      <c r="CP44" s="248"/>
      <c r="CQ44" s="248"/>
      <c r="CR44" s="248"/>
      <c r="CS44" s="248"/>
      <c r="CT44" s="248"/>
      <c r="CU44" s="248"/>
      <c r="CV44" s="248"/>
      <c r="CW44" s="248"/>
      <c r="CX44" s="248"/>
      <c r="CY44" s="248"/>
      <c r="CZ44" s="248"/>
      <c r="DA44" s="248"/>
      <c r="DB44" s="248"/>
      <c r="DC44" s="248"/>
      <c r="DD44" s="248"/>
      <c r="DE44" s="248"/>
      <c r="DF44" s="248"/>
      <c r="DG44" s="248"/>
      <c r="DH44" s="248"/>
      <c r="DI44" s="248"/>
      <c r="DJ44" s="248"/>
      <c r="DK44" s="248"/>
      <c r="DL44" s="248"/>
      <c r="DM44" s="248"/>
      <c r="DN44" s="248"/>
      <c r="DO44" s="248"/>
      <c r="DP44" s="248"/>
      <c r="DQ44" s="248"/>
      <c r="DR44" s="248"/>
      <c r="DS44" s="248"/>
      <c r="DT44" s="248"/>
      <c r="DU44" s="248"/>
      <c r="DV44" s="248"/>
      <c r="DW44" s="248"/>
      <c r="DX44" s="248"/>
      <c r="DY44" s="248"/>
      <c r="DZ44" s="248"/>
      <c r="EA44" s="248"/>
      <c r="EB44" s="248"/>
      <c r="EC44" s="248"/>
      <c r="ED44" s="248"/>
      <c r="EE44" s="248"/>
      <c r="EF44" s="248"/>
      <c r="EG44" s="248"/>
      <c r="EH44" s="248"/>
      <c r="EI44" s="248"/>
      <c r="EJ44" s="248"/>
      <c r="EK44" s="248"/>
      <c r="EL44" s="248"/>
      <c r="EM44" s="248"/>
      <c r="EN44" s="248"/>
      <c r="EO44" s="248"/>
      <c r="EP44" s="248"/>
      <c r="EQ44" s="248"/>
      <c r="ER44" s="248"/>
      <c r="ES44" s="248"/>
      <c r="ET44" s="248"/>
      <c r="EU44" s="248"/>
      <c r="EV44" s="248"/>
      <c r="EW44" s="248"/>
      <c r="EX44" s="248"/>
      <c r="EY44" s="248"/>
      <c r="EZ44" s="248"/>
      <c r="FA44" s="248"/>
      <c r="FB44" s="248"/>
      <c r="FC44" s="248"/>
      <c r="FD44" s="248"/>
      <c r="FE44" s="248"/>
      <c r="FF44" s="248"/>
      <c r="FG44" s="248"/>
      <c r="FH44" s="248"/>
      <c r="FI44" s="248"/>
      <c r="FJ44" s="248"/>
      <c r="FK44" s="248"/>
      <c r="FL44" s="248"/>
      <c r="FM44" s="248"/>
      <c r="FN44" s="248"/>
      <c r="FO44" s="248"/>
      <c r="FP44" s="248"/>
      <c r="FQ44" s="248"/>
      <c r="FR44" s="248"/>
      <c r="FS44" s="248"/>
      <c r="FT44" s="248"/>
      <c r="FU44" s="248"/>
      <c r="FV44" s="248"/>
      <c r="FW44" s="248"/>
      <c r="FX44" s="248"/>
      <c r="FY44" s="248"/>
      <c r="FZ44" s="248"/>
      <c r="GA44" s="248"/>
      <c r="GB44" s="248"/>
      <c r="GC44" s="248"/>
      <c r="GD44" s="248"/>
      <c r="GE44" s="248"/>
      <c r="GF44" s="248"/>
      <c r="GG44" s="248"/>
      <c r="GH44" s="248"/>
      <c r="GI44" s="248"/>
      <c r="GJ44" s="248"/>
      <c r="GK44" s="248"/>
      <c r="GL44" s="248"/>
      <c r="GM44" s="248"/>
      <c r="GN44" s="248"/>
      <c r="GO44" s="248"/>
      <c r="GP44" s="248"/>
      <c r="GQ44" s="248"/>
      <c r="GR44" s="248"/>
      <c r="GS44" s="248"/>
      <c r="GT44" s="248"/>
      <c r="GU44" s="248"/>
      <c r="GV44" s="248"/>
      <c r="GW44" s="248"/>
      <c r="GX44" s="248"/>
      <c r="GY44" s="248"/>
      <c r="GZ44" s="248"/>
      <c r="HA44" s="248"/>
      <c r="HB44" s="248"/>
      <c r="HC44" s="248"/>
      <c r="HD44" s="248"/>
      <c r="HE44" s="248"/>
      <c r="HF44" s="248"/>
      <c r="HG44" s="248"/>
      <c r="HH44" s="248"/>
      <c r="HI44" s="248"/>
      <c r="HJ44" s="248"/>
      <c r="HK44" s="248"/>
      <c r="HL44" s="248"/>
      <c r="HM44" s="248"/>
      <c r="HN44" s="248"/>
      <c r="HO44" s="248"/>
      <c r="HP44" s="248"/>
      <c r="HQ44" s="248"/>
      <c r="HR44" s="248"/>
      <c r="HS44" s="248"/>
      <c r="HT44" s="248"/>
      <c r="HU44" s="248"/>
      <c r="HV44" s="248"/>
      <c r="HW44" s="248"/>
      <c r="HX44" s="248"/>
      <c r="HY44" s="248"/>
      <c r="HZ44" s="248"/>
      <c r="IA44" s="248"/>
      <c r="IB44" s="248"/>
      <c r="IC44" s="248"/>
      <c r="ID44" s="248"/>
      <c r="IE44" s="248"/>
      <c r="IF44" s="248"/>
      <c r="IG44" s="248"/>
      <c r="IH44" s="248"/>
      <c r="II44" s="248"/>
      <c r="IJ44" s="248"/>
      <c r="IK44" s="248"/>
      <c r="IL44" s="248"/>
      <c r="IM44" s="248"/>
      <c r="IN44" s="248"/>
      <c r="IO44" s="248"/>
      <c r="IP44" s="248"/>
      <c r="IQ44" s="248"/>
      <c r="IR44" s="248"/>
      <c r="IS44" s="248"/>
      <c r="IT44" s="248"/>
      <c r="IU44" s="248"/>
      <c r="IV44" s="248"/>
      <c r="IW44" s="248"/>
      <c r="IX44" s="248"/>
      <c r="IY44" s="248"/>
      <c r="IZ44" s="248"/>
      <c r="JA44" s="248"/>
      <c r="JB44" s="248"/>
      <c r="JC44" s="248"/>
      <c r="JD44" s="248"/>
      <c r="JE44" s="248"/>
      <c r="JF44" s="248"/>
      <c r="JG44" s="248"/>
      <c r="JH44" s="248"/>
      <c r="JI44" s="248"/>
      <c r="JJ44" s="248"/>
      <c r="JK44" s="248"/>
      <c r="JL44" s="248"/>
      <c r="JM44" s="248"/>
      <c r="JN44" s="248"/>
      <c r="JO44" s="248"/>
      <c r="JP44" s="248"/>
      <c r="JQ44" s="248"/>
      <c r="JR44" s="248"/>
      <c r="JS44" s="248"/>
      <c r="JT44" s="248"/>
      <c r="JU44" s="248"/>
      <c r="JV44" s="248"/>
      <c r="JW44" s="248"/>
      <c r="JX44" s="248"/>
      <c r="JY44" s="248"/>
      <c r="JZ44" s="248"/>
      <c r="KA44" s="248"/>
      <c r="KB44" s="248"/>
      <c r="KC44" s="248"/>
      <c r="KD44" s="248"/>
      <c r="KE44" s="248"/>
      <c r="KF44" s="248"/>
      <c r="KG44" s="248"/>
      <c r="KH44" s="248"/>
      <c r="KI44" s="248"/>
      <c r="KJ44" s="248"/>
      <c r="KK44" s="248"/>
      <c r="KL44" s="248"/>
      <c r="KM44" s="248"/>
      <c r="KN44" s="248"/>
      <c r="KO44" s="248"/>
      <c r="KP44" s="248"/>
      <c r="KQ44" s="248"/>
      <c r="KR44" s="248"/>
      <c r="KS44" s="248"/>
      <c r="KT44" s="248"/>
      <c r="KU44" s="248"/>
      <c r="KV44" s="248"/>
      <c r="KW44" s="248"/>
      <c r="KX44" s="248"/>
      <c r="KY44" s="248"/>
      <c r="KZ44" s="248"/>
      <c r="LA44" s="248"/>
      <c r="LB44" s="248"/>
      <c r="LC44" s="248"/>
      <c r="LD44" s="248"/>
      <c r="LE44" s="248"/>
      <c r="LF44" s="248"/>
      <c r="LG44" s="248"/>
      <c r="LH44" s="248"/>
      <c r="LI44" s="248"/>
      <c r="LJ44" s="248"/>
      <c r="LK44" s="248"/>
      <c r="LL44" s="248"/>
      <c r="LM44" s="248"/>
      <c r="LN44" s="248"/>
      <c r="LO44" s="248"/>
      <c r="LP44" s="248"/>
      <c r="LQ44" s="248"/>
      <c r="LR44" s="248"/>
      <c r="LS44" s="248"/>
      <c r="LT44" s="248"/>
      <c r="LU44" s="248"/>
      <c r="LV44" s="248"/>
      <c r="LW44" s="248"/>
      <c r="LX44" s="248"/>
      <c r="LY44" s="248"/>
      <c r="LZ44" s="248"/>
      <c r="MA44" s="248"/>
      <c r="MB44" s="248"/>
      <c r="MC44" s="248"/>
      <c r="MD44" s="248"/>
      <c r="ME44" s="248"/>
      <c r="MF44" s="248"/>
      <c r="MG44" s="248"/>
      <c r="MH44" s="248"/>
      <c r="MI44" s="248"/>
      <c r="MJ44" s="248"/>
      <c r="MK44" s="248"/>
      <c r="ML44" s="248"/>
      <c r="MM44" s="248"/>
      <c r="MN44" s="248"/>
      <c r="MO44" s="248"/>
      <c r="MP44" s="248"/>
      <c r="MQ44" s="248"/>
      <c r="MR44" s="248"/>
      <c r="MS44" s="248"/>
      <c r="MT44" s="248"/>
      <c r="MU44" s="248"/>
      <c r="MV44" s="248"/>
      <c r="MW44" s="248"/>
      <c r="MX44" s="248"/>
      <c r="MY44" s="663">
        <f t="shared" si="0"/>
        <v>0</v>
      </c>
      <c r="MZ44" s="663">
        <f t="shared" si="1"/>
        <v>0</v>
      </c>
      <c r="NA44" s="663">
        <f t="shared" si="2"/>
        <v>0</v>
      </c>
      <c r="NB44" s="663">
        <f t="shared" si="3"/>
        <v>0</v>
      </c>
      <c r="NC44" s="667"/>
    </row>
    <row r="45" spans="1:367" s="223" customFormat="1" ht="21.75" customHeight="1" x14ac:dyDescent="0.25">
      <c r="A45" s="208" t="s">
        <v>281</v>
      </c>
      <c r="B45" s="222" t="s">
        <v>741</v>
      </c>
      <c r="C45" s="21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c r="CK45" s="248"/>
      <c r="CL45" s="248"/>
      <c r="CM45" s="248"/>
      <c r="CN45" s="248"/>
      <c r="CO45" s="248"/>
      <c r="CP45" s="248"/>
      <c r="CQ45" s="248"/>
      <c r="CR45" s="248"/>
      <c r="CS45" s="248"/>
      <c r="CT45" s="248"/>
      <c r="CU45" s="248"/>
      <c r="CV45" s="248"/>
      <c r="CW45" s="248"/>
      <c r="CX45" s="248"/>
      <c r="CY45" s="248"/>
      <c r="CZ45" s="248"/>
      <c r="DA45" s="248"/>
      <c r="DB45" s="248"/>
      <c r="DC45" s="248"/>
      <c r="DD45" s="248"/>
      <c r="DE45" s="248"/>
      <c r="DF45" s="248"/>
      <c r="DG45" s="248"/>
      <c r="DH45" s="248"/>
      <c r="DI45" s="248"/>
      <c r="DJ45" s="248"/>
      <c r="DK45" s="248"/>
      <c r="DL45" s="248"/>
      <c r="DM45" s="248"/>
      <c r="DN45" s="248"/>
      <c r="DO45" s="248"/>
      <c r="DP45" s="248"/>
      <c r="DQ45" s="248"/>
      <c r="DR45" s="248"/>
      <c r="DS45" s="248"/>
      <c r="DT45" s="248"/>
      <c r="DU45" s="248"/>
      <c r="DV45" s="248"/>
      <c r="DW45" s="248"/>
      <c r="DX45" s="248"/>
      <c r="DY45" s="248"/>
      <c r="DZ45" s="248"/>
      <c r="EA45" s="248"/>
      <c r="EB45" s="248"/>
      <c r="EC45" s="248"/>
      <c r="ED45" s="248"/>
      <c r="EE45" s="248"/>
      <c r="EF45" s="248"/>
      <c r="EG45" s="248"/>
      <c r="EH45" s="248"/>
      <c r="EI45" s="248"/>
      <c r="EJ45" s="248"/>
      <c r="EK45" s="248"/>
      <c r="EL45" s="248"/>
      <c r="EM45" s="248"/>
      <c r="EN45" s="248"/>
      <c r="EO45" s="248"/>
      <c r="EP45" s="248"/>
      <c r="EQ45" s="248"/>
      <c r="ER45" s="248"/>
      <c r="ES45" s="248"/>
      <c r="ET45" s="248"/>
      <c r="EU45" s="248"/>
      <c r="EV45" s="248"/>
      <c r="EW45" s="248"/>
      <c r="EX45" s="248"/>
      <c r="EY45" s="248"/>
      <c r="EZ45" s="248"/>
      <c r="FA45" s="248"/>
      <c r="FB45" s="248"/>
      <c r="FC45" s="248"/>
      <c r="FD45" s="248"/>
      <c r="FE45" s="248"/>
      <c r="FF45" s="248"/>
      <c r="FG45" s="248"/>
      <c r="FH45" s="248"/>
      <c r="FI45" s="248"/>
      <c r="FJ45" s="248"/>
      <c r="FK45" s="248"/>
      <c r="FL45" s="248"/>
      <c r="FM45" s="248"/>
      <c r="FN45" s="248"/>
      <c r="FO45" s="248"/>
      <c r="FP45" s="248"/>
      <c r="FQ45" s="248"/>
      <c r="FR45" s="248"/>
      <c r="FS45" s="248"/>
      <c r="FT45" s="248"/>
      <c r="FU45" s="248"/>
      <c r="FV45" s="248"/>
      <c r="FW45" s="248"/>
      <c r="FX45" s="248"/>
      <c r="FY45" s="248"/>
      <c r="FZ45" s="248"/>
      <c r="GA45" s="248"/>
      <c r="GB45" s="248"/>
      <c r="GC45" s="248"/>
      <c r="GD45" s="248"/>
      <c r="GE45" s="248"/>
      <c r="GF45" s="248"/>
      <c r="GG45" s="248"/>
      <c r="GH45" s="248"/>
      <c r="GI45" s="248"/>
      <c r="GJ45" s="248"/>
      <c r="GK45" s="248"/>
      <c r="GL45" s="248"/>
      <c r="GM45" s="248"/>
      <c r="GN45" s="248"/>
      <c r="GO45" s="248"/>
      <c r="GP45" s="248"/>
      <c r="GQ45" s="248"/>
      <c r="GR45" s="248"/>
      <c r="GS45" s="248"/>
      <c r="GT45" s="248"/>
      <c r="GU45" s="248"/>
      <c r="GV45" s="248"/>
      <c r="GW45" s="248"/>
      <c r="GX45" s="248"/>
      <c r="GY45" s="248"/>
      <c r="GZ45" s="248"/>
      <c r="HA45" s="248"/>
      <c r="HB45" s="248"/>
      <c r="HC45" s="248"/>
      <c r="HD45" s="248"/>
      <c r="HE45" s="248"/>
      <c r="HF45" s="248"/>
      <c r="HG45" s="248"/>
      <c r="HH45" s="248"/>
      <c r="HI45" s="248"/>
      <c r="HJ45" s="248"/>
      <c r="HK45" s="248"/>
      <c r="HL45" s="248"/>
      <c r="HM45" s="248"/>
      <c r="HN45" s="248"/>
      <c r="HO45" s="248"/>
      <c r="HP45" s="248"/>
      <c r="HQ45" s="248"/>
      <c r="HR45" s="248"/>
      <c r="HS45" s="248"/>
      <c r="HT45" s="248"/>
      <c r="HU45" s="248"/>
      <c r="HV45" s="248"/>
      <c r="HW45" s="248"/>
      <c r="HX45" s="248"/>
      <c r="HY45" s="248"/>
      <c r="HZ45" s="248"/>
      <c r="IA45" s="248"/>
      <c r="IB45" s="248"/>
      <c r="IC45" s="248"/>
      <c r="ID45" s="248"/>
      <c r="IE45" s="248"/>
      <c r="IF45" s="248"/>
      <c r="IG45" s="248"/>
      <c r="IH45" s="248"/>
      <c r="II45" s="248"/>
      <c r="IJ45" s="248"/>
      <c r="IK45" s="248"/>
      <c r="IL45" s="248"/>
      <c r="IM45" s="248"/>
      <c r="IN45" s="248"/>
      <c r="IO45" s="248"/>
      <c r="IP45" s="248"/>
      <c r="IQ45" s="248"/>
      <c r="IR45" s="248"/>
      <c r="IS45" s="248"/>
      <c r="IT45" s="248"/>
      <c r="IU45" s="248"/>
      <c r="IV45" s="248"/>
      <c r="IW45" s="248"/>
      <c r="IX45" s="248"/>
      <c r="IY45" s="248"/>
      <c r="IZ45" s="248"/>
      <c r="JA45" s="248"/>
      <c r="JB45" s="248"/>
      <c r="JC45" s="248"/>
      <c r="JD45" s="248"/>
      <c r="JE45" s="248"/>
      <c r="JF45" s="248"/>
      <c r="JG45" s="248"/>
      <c r="JH45" s="248"/>
      <c r="JI45" s="248"/>
      <c r="JJ45" s="248"/>
      <c r="JK45" s="248"/>
      <c r="JL45" s="248"/>
      <c r="JM45" s="248"/>
      <c r="JN45" s="248"/>
      <c r="JO45" s="248"/>
      <c r="JP45" s="248"/>
      <c r="JQ45" s="248"/>
      <c r="JR45" s="248"/>
      <c r="JS45" s="248"/>
      <c r="JT45" s="248"/>
      <c r="JU45" s="248"/>
      <c r="JV45" s="248"/>
      <c r="JW45" s="248"/>
      <c r="JX45" s="248"/>
      <c r="JY45" s="248"/>
      <c r="JZ45" s="248"/>
      <c r="KA45" s="248"/>
      <c r="KB45" s="248"/>
      <c r="KC45" s="248"/>
      <c r="KD45" s="248"/>
      <c r="KE45" s="248"/>
      <c r="KF45" s="248"/>
      <c r="KG45" s="248"/>
      <c r="KH45" s="248"/>
      <c r="KI45" s="248"/>
      <c r="KJ45" s="248"/>
      <c r="KK45" s="248"/>
      <c r="KL45" s="248"/>
      <c r="KM45" s="248"/>
      <c r="KN45" s="248"/>
      <c r="KO45" s="248"/>
      <c r="KP45" s="248"/>
      <c r="KQ45" s="248"/>
      <c r="KR45" s="248"/>
      <c r="KS45" s="248"/>
      <c r="KT45" s="248"/>
      <c r="KU45" s="248"/>
      <c r="KV45" s="248"/>
      <c r="KW45" s="248"/>
      <c r="KX45" s="248"/>
      <c r="KY45" s="248"/>
      <c r="KZ45" s="248"/>
      <c r="LA45" s="248"/>
      <c r="LB45" s="248"/>
      <c r="LC45" s="248"/>
      <c r="LD45" s="248"/>
      <c r="LE45" s="248"/>
      <c r="LF45" s="248"/>
      <c r="LG45" s="248"/>
      <c r="LH45" s="248"/>
      <c r="LI45" s="248"/>
      <c r="LJ45" s="248"/>
      <c r="LK45" s="248"/>
      <c r="LL45" s="248"/>
      <c r="LM45" s="248"/>
      <c r="LN45" s="248"/>
      <c r="LO45" s="248"/>
      <c r="LP45" s="248"/>
      <c r="LQ45" s="248"/>
      <c r="LR45" s="248"/>
      <c r="LS45" s="248"/>
      <c r="LT45" s="248"/>
      <c r="LU45" s="248"/>
      <c r="LV45" s="248"/>
      <c r="LW45" s="248"/>
      <c r="LX45" s="248"/>
      <c r="LY45" s="248"/>
      <c r="LZ45" s="248"/>
      <c r="MA45" s="248"/>
      <c r="MB45" s="248"/>
      <c r="MC45" s="248"/>
      <c r="MD45" s="248"/>
      <c r="ME45" s="248"/>
      <c r="MF45" s="248"/>
      <c r="MG45" s="248"/>
      <c r="MH45" s="248"/>
      <c r="MI45" s="248"/>
      <c r="MJ45" s="248"/>
      <c r="MK45" s="248"/>
      <c r="ML45" s="248"/>
      <c r="MM45" s="248"/>
      <c r="MN45" s="248"/>
      <c r="MO45" s="248"/>
      <c r="MP45" s="248"/>
      <c r="MQ45" s="248"/>
      <c r="MR45" s="248"/>
      <c r="MS45" s="248"/>
      <c r="MT45" s="248"/>
      <c r="MU45" s="248"/>
      <c r="MV45" s="248"/>
      <c r="MW45" s="248"/>
      <c r="MX45" s="248"/>
      <c r="MY45" s="663">
        <f t="shared" si="0"/>
        <v>0</v>
      </c>
      <c r="MZ45" s="663">
        <f t="shared" si="1"/>
        <v>0</v>
      </c>
      <c r="NA45" s="663">
        <f t="shared" si="2"/>
        <v>0</v>
      </c>
      <c r="NB45" s="663">
        <f t="shared" si="3"/>
        <v>0</v>
      </c>
      <c r="NC45" s="667"/>
    </row>
    <row r="46" spans="1:367" s="215" customFormat="1" ht="21.75" customHeight="1" x14ac:dyDescent="0.25">
      <c r="A46" s="208" t="s">
        <v>282</v>
      </c>
      <c r="B46" s="224" t="s">
        <v>109</v>
      </c>
      <c r="C46" s="210"/>
      <c r="D46" s="229">
        <f>+D30+D32+D33+D35+D40+D42+D45</f>
        <v>0</v>
      </c>
      <c r="E46" s="229">
        <f t="shared" ref="E46:CV46" si="51">+E30+E32+E33+E35+E40+E42+E45</f>
        <v>0</v>
      </c>
      <c r="F46" s="229">
        <f t="shared" si="51"/>
        <v>0</v>
      </c>
      <c r="G46" s="229">
        <f t="shared" si="51"/>
        <v>0</v>
      </c>
      <c r="H46" s="229">
        <f t="shared" si="51"/>
        <v>0</v>
      </c>
      <c r="I46" s="229">
        <f t="shared" si="51"/>
        <v>0</v>
      </c>
      <c r="J46" s="229">
        <f t="shared" si="51"/>
        <v>0</v>
      </c>
      <c r="K46" s="229">
        <f t="shared" si="51"/>
        <v>0</v>
      </c>
      <c r="L46" s="229">
        <f t="shared" si="51"/>
        <v>0</v>
      </c>
      <c r="M46" s="229">
        <f t="shared" si="51"/>
        <v>0</v>
      </c>
      <c r="N46" s="229">
        <f t="shared" si="51"/>
        <v>0</v>
      </c>
      <c r="O46" s="229">
        <f t="shared" si="51"/>
        <v>0</v>
      </c>
      <c r="P46" s="229">
        <f t="shared" si="51"/>
        <v>0</v>
      </c>
      <c r="Q46" s="229">
        <f t="shared" si="51"/>
        <v>0</v>
      </c>
      <c r="R46" s="229">
        <f t="shared" si="51"/>
        <v>0</v>
      </c>
      <c r="S46" s="229">
        <f t="shared" si="51"/>
        <v>0</v>
      </c>
      <c r="T46" s="229">
        <f t="shared" si="51"/>
        <v>0</v>
      </c>
      <c r="U46" s="229">
        <f t="shared" si="51"/>
        <v>0</v>
      </c>
      <c r="V46" s="229">
        <f t="shared" si="51"/>
        <v>0</v>
      </c>
      <c r="W46" s="229">
        <f t="shared" si="51"/>
        <v>0</v>
      </c>
      <c r="X46" s="229">
        <f t="shared" si="51"/>
        <v>0</v>
      </c>
      <c r="Y46" s="229">
        <f t="shared" si="51"/>
        <v>0</v>
      </c>
      <c r="Z46" s="229">
        <f t="shared" si="51"/>
        <v>0</v>
      </c>
      <c r="AA46" s="229">
        <f t="shared" si="51"/>
        <v>0</v>
      </c>
      <c r="AB46" s="229">
        <f t="shared" si="51"/>
        <v>0</v>
      </c>
      <c r="AC46" s="229">
        <f t="shared" si="51"/>
        <v>0</v>
      </c>
      <c r="AD46" s="229">
        <f t="shared" si="51"/>
        <v>0</v>
      </c>
      <c r="AE46" s="229">
        <f t="shared" si="51"/>
        <v>10000000</v>
      </c>
      <c r="AF46" s="229">
        <f t="shared" si="51"/>
        <v>27091495</v>
      </c>
      <c r="AG46" s="229">
        <f t="shared" si="51"/>
        <v>26808900</v>
      </c>
      <c r="AH46" s="229">
        <f t="shared" si="51"/>
        <v>0</v>
      </c>
      <c r="AI46" s="229">
        <f t="shared" si="51"/>
        <v>0</v>
      </c>
      <c r="AJ46" s="229">
        <f t="shared" si="51"/>
        <v>0</v>
      </c>
      <c r="AK46" s="229">
        <f t="shared" si="51"/>
        <v>178518371</v>
      </c>
      <c r="AL46" s="229">
        <f t="shared" si="51"/>
        <v>187583319</v>
      </c>
      <c r="AM46" s="229">
        <f t="shared" si="51"/>
        <v>187583319</v>
      </c>
      <c r="AN46" s="229">
        <f t="shared" si="51"/>
        <v>2234951046</v>
      </c>
      <c r="AO46" s="229">
        <f t="shared" si="51"/>
        <v>2399022039</v>
      </c>
      <c r="AP46" s="229">
        <f t="shared" si="51"/>
        <v>2399022039</v>
      </c>
      <c r="AQ46" s="229">
        <f t="shared" si="51"/>
        <v>0</v>
      </c>
      <c r="AR46" s="229">
        <f t="shared" si="51"/>
        <v>0</v>
      </c>
      <c r="AS46" s="229">
        <f t="shared" si="51"/>
        <v>0</v>
      </c>
      <c r="AT46" s="229">
        <f t="shared" si="51"/>
        <v>0</v>
      </c>
      <c r="AU46" s="229">
        <f t="shared" si="51"/>
        <v>0</v>
      </c>
      <c r="AV46" s="229">
        <f t="shared" si="51"/>
        <v>0</v>
      </c>
      <c r="AW46" s="229">
        <f t="shared" si="51"/>
        <v>0</v>
      </c>
      <c r="AX46" s="229">
        <f t="shared" si="51"/>
        <v>0</v>
      </c>
      <c r="AY46" s="229">
        <f t="shared" si="51"/>
        <v>0</v>
      </c>
      <c r="AZ46" s="229">
        <f t="shared" si="51"/>
        <v>0</v>
      </c>
      <c r="BA46" s="229">
        <f t="shared" si="51"/>
        <v>0</v>
      </c>
      <c r="BB46" s="229">
        <f t="shared" si="51"/>
        <v>0</v>
      </c>
      <c r="BC46" s="229">
        <f t="shared" si="51"/>
        <v>0</v>
      </c>
      <c r="BD46" s="229">
        <f t="shared" si="51"/>
        <v>0</v>
      </c>
      <c r="BE46" s="229">
        <f t="shared" si="51"/>
        <v>0</v>
      </c>
      <c r="BF46" s="229">
        <f t="shared" si="51"/>
        <v>0</v>
      </c>
      <c r="BG46" s="229">
        <f t="shared" si="51"/>
        <v>0</v>
      </c>
      <c r="BH46" s="229">
        <f t="shared" si="51"/>
        <v>0</v>
      </c>
      <c r="BI46" s="229">
        <f t="shared" si="51"/>
        <v>0</v>
      </c>
      <c r="BJ46" s="229">
        <f t="shared" si="51"/>
        <v>0</v>
      </c>
      <c r="BK46" s="229">
        <f t="shared" si="51"/>
        <v>0</v>
      </c>
      <c r="BL46" s="229">
        <f t="shared" si="51"/>
        <v>0</v>
      </c>
      <c r="BM46" s="229">
        <f t="shared" si="51"/>
        <v>0</v>
      </c>
      <c r="BN46" s="229">
        <f t="shared" si="51"/>
        <v>0</v>
      </c>
      <c r="BO46" s="229">
        <f t="shared" si="51"/>
        <v>0</v>
      </c>
      <c r="BP46" s="229">
        <f t="shared" si="51"/>
        <v>0</v>
      </c>
      <c r="BQ46" s="229">
        <f t="shared" si="51"/>
        <v>0</v>
      </c>
      <c r="BR46" s="229">
        <f t="shared" si="51"/>
        <v>0</v>
      </c>
      <c r="BS46" s="229">
        <f t="shared" si="51"/>
        <v>0</v>
      </c>
      <c r="BT46" s="229">
        <f t="shared" si="51"/>
        <v>0</v>
      </c>
      <c r="BU46" s="229">
        <f t="shared" si="51"/>
        <v>0</v>
      </c>
      <c r="BV46" s="229">
        <f t="shared" si="51"/>
        <v>0</v>
      </c>
      <c r="BW46" s="229">
        <f t="shared" si="51"/>
        <v>0</v>
      </c>
      <c r="BX46" s="229">
        <f t="shared" si="51"/>
        <v>0</v>
      </c>
      <c r="BY46" s="229">
        <f t="shared" si="51"/>
        <v>0</v>
      </c>
      <c r="BZ46" s="229">
        <f t="shared" si="51"/>
        <v>0</v>
      </c>
      <c r="CA46" s="229">
        <f t="shared" si="51"/>
        <v>0</v>
      </c>
      <c r="CB46" s="229">
        <f t="shared" si="51"/>
        <v>0</v>
      </c>
      <c r="CC46" s="229">
        <f t="shared" si="51"/>
        <v>0</v>
      </c>
      <c r="CD46" s="229">
        <f t="shared" si="51"/>
        <v>0</v>
      </c>
      <c r="CE46" s="229">
        <f t="shared" si="51"/>
        <v>0</v>
      </c>
      <c r="CF46" s="229">
        <f t="shared" si="51"/>
        <v>0</v>
      </c>
      <c r="CG46" s="229">
        <f t="shared" si="51"/>
        <v>0</v>
      </c>
      <c r="CH46" s="229">
        <f t="shared" si="51"/>
        <v>0</v>
      </c>
      <c r="CI46" s="229">
        <f t="shared" si="51"/>
        <v>0</v>
      </c>
      <c r="CJ46" s="229">
        <f t="shared" si="51"/>
        <v>0</v>
      </c>
      <c r="CK46" s="229">
        <f t="shared" si="51"/>
        <v>0</v>
      </c>
      <c r="CL46" s="229">
        <f t="shared" si="51"/>
        <v>0</v>
      </c>
      <c r="CM46" s="229">
        <f t="shared" si="51"/>
        <v>0</v>
      </c>
      <c r="CN46" s="229">
        <f t="shared" si="51"/>
        <v>0</v>
      </c>
      <c r="CO46" s="229">
        <f t="shared" si="51"/>
        <v>0</v>
      </c>
      <c r="CP46" s="229">
        <f t="shared" si="51"/>
        <v>0</v>
      </c>
      <c r="CQ46" s="229">
        <f t="shared" si="51"/>
        <v>0</v>
      </c>
      <c r="CR46" s="229">
        <f t="shared" si="51"/>
        <v>0</v>
      </c>
      <c r="CS46" s="229">
        <f t="shared" si="51"/>
        <v>0</v>
      </c>
      <c r="CT46" s="229">
        <f t="shared" si="51"/>
        <v>1064000</v>
      </c>
      <c r="CU46" s="229">
        <f t="shared" si="51"/>
        <v>1064000</v>
      </c>
      <c r="CV46" s="229">
        <f t="shared" si="51"/>
        <v>0</v>
      </c>
      <c r="CW46" s="229">
        <f t="shared" ref="CW46:FH46" si="52">+CW30+CW32+CW33+CW35+CW40+CW42+CW45</f>
        <v>0</v>
      </c>
      <c r="CX46" s="229">
        <f t="shared" si="52"/>
        <v>0</v>
      </c>
      <c r="CY46" s="229">
        <f t="shared" si="52"/>
        <v>0</v>
      </c>
      <c r="CZ46" s="229">
        <f t="shared" si="52"/>
        <v>0</v>
      </c>
      <c r="DA46" s="229">
        <f t="shared" si="52"/>
        <v>0</v>
      </c>
      <c r="DB46" s="229">
        <f t="shared" si="52"/>
        <v>0</v>
      </c>
      <c r="DC46" s="229">
        <f t="shared" si="52"/>
        <v>0</v>
      </c>
      <c r="DD46" s="229">
        <f t="shared" si="52"/>
        <v>0</v>
      </c>
      <c r="DE46" s="229">
        <f t="shared" si="52"/>
        <v>0</v>
      </c>
      <c r="DF46" s="229">
        <f t="shared" si="52"/>
        <v>0</v>
      </c>
      <c r="DG46" s="229">
        <f t="shared" si="52"/>
        <v>0</v>
      </c>
      <c r="DH46" s="229">
        <f t="shared" si="52"/>
        <v>31800000</v>
      </c>
      <c r="DI46" s="229">
        <f t="shared" si="52"/>
        <v>47442750</v>
      </c>
      <c r="DJ46" s="229">
        <f t="shared" si="52"/>
        <v>47442750</v>
      </c>
      <c r="DK46" s="229">
        <f t="shared" si="52"/>
        <v>751000</v>
      </c>
      <c r="DL46" s="229">
        <f t="shared" si="52"/>
        <v>3924118</v>
      </c>
      <c r="DM46" s="229">
        <f t="shared" si="52"/>
        <v>3601224</v>
      </c>
      <c r="DN46" s="229">
        <f t="shared" si="52"/>
        <v>0</v>
      </c>
      <c r="DO46" s="229">
        <f t="shared" si="52"/>
        <v>0</v>
      </c>
      <c r="DP46" s="229">
        <f t="shared" si="52"/>
        <v>0</v>
      </c>
      <c r="DQ46" s="229">
        <f t="shared" si="52"/>
        <v>0</v>
      </c>
      <c r="DR46" s="229">
        <f t="shared" si="52"/>
        <v>0</v>
      </c>
      <c r="DS46" s="229">
        <f t="shared" si="52"/>
        <v>0</v>
      </c>
      <c r="DT46" s="229">
        <f t="shared" si="52"/>
        <v>0</v>
      </c>
      <c r="DU46" s="229">
        <f t="shared" si="52"/>
        <v>0</v>
      </c>
      <c r="DV46" s="229">
        <f t="shared" si="52"/>
        <v>0</v>
      </c>
      <c r="DW46" s="229">
        <f t="shared" si="52"/>
        <v>0</v>
      </c>
      <c r="DX46" s="229">
        <f t="shared" si="52"/>
        <v>0</v>
      </c>
      <c r="DY46" s="229">
        <f t="shared" si="52"/>
        <v>0</v>
      </c>
      <c r="DZ46" s="229">
        <f t="shared" si="52"/>
        <v>0</v>
      </c>
      <c r="EA46" s="229">
        <f t="shared" si="52"/>
        <v>0</v>
      </c>
      <c r="EB46" s="229">
        <f t="shared" si="52"/>
        <v>0</v>
      </c>
      <c r="EC46" s="229">
        <f t="shared" si="52"/>
        <v>0</v>
      </c>
      <c r="ED46" s="229">
        <f t="shared" si="52"/>
        <v>0</v>
      </c>
      <c r="EE46" s="229">
        <f t="shared" si="52"/>
        <v>0</v>
      </c>
      <c r="EF46" s="229">
        <f t="shared" si="52"/>
        <v>0</v>
      </c>
      <c r="EG46" s="229">
        <f t="shared" si="52"/>
        <v>0</v>
      </c>
      <c r="EH46" s="229">
        <f t="shared" si="52"/>
        <v>0</v>
      </c>
      <c r="EI46" s="229">
        <f t="shared" si="52"/>
        <v>13039031</v>
      </c>
      <c r="EJ46" s="229">
        <f t="shared" si="52"/>
        <v>19581035</v>
      </c>
      <c r="EK46" s="229">
        <f t="shared" si="52"/>
        <v>11809435</v>
      </c>
      <c r="EL46" s="229">
        <f t="shared" si="52"/>
        <v>677580</v>
      </c>
      <c r="EM46" s="229">
        <f t="shared" si="52"/>
        <v>2531836</v>
      </c>
      <c r="EN46" s="229">
        <f t="shared" si="52"/>
        <v>692780</v>
      </c>
      <c r="EO46" s="229">
        <f t="shared" si="52"/>
        <v>5280000</v>
      </c>
      <c r="EP46" s="229">
        <f t="shared" si="52"/>
        <v>6092196</v>
      </c>
      <c r="EQ46" s="229">
        <f t="shared" si="52"/>
        <v>6092196</v>
      </c>
      <c r="ER46" s="229">
        <f t="shared" si="52"/>
        <v>43180000</v>
      </c>
      <c r="ES46" s="229">
        <f t="shared" si="52"/>
        <v>48550938</v>
      </c>
      <c r="ET46" s="229">
        <f t="shared" si="52"/>
        <v>48540438</v>
      </c>
      <c r="EU46" s="229">
        <f t="shared" si="52"/>
        <v>0</v>
      </c>
      <c r="EV46" s="229">
        <f t="shared" si="52"/>
        <v>0</v>
      </c>
      <c r="EW46" s="229">
        <f t="shared" si="52"/>
        <v>0</v>
      </c>
      <c r="EX46" s="229">
        <f t="shared" si="52"/>
        <v>7000000</v>
      </c>
      <c r="EY46" s="229">
        <f t="shared" si="52"/>
        <v>8510523</v>
      </c>
      <c r="EZ46" s="229">
        <f t="shared" si="52"/>
        <v>8178543</v>
      </c>
      <c r="FA46" s="229">
        <f t="shared" si="52"/>
        <v>0</v>
      </c>
      <c r="FB46" s="229">
        <f t="shared" si="52"/>
        <v>415500</v>
      </c>
      <c r="FC46" s="229">
        <f t="shared" si="52"/>
        <v>415500</v>
      </c>
      <c r="FD46" s="229">
        <f t="shared" si="52"/>
        <v>0</v>
      </c>
      <c r="FE46" s="229">
        <f t="shared" si="52"/>
        <v>0</v>
      </c>
      <c r="FF46" s="229">
        <f t="shared" si="52"/>
        <v>0</v>
      </c>
      <c r="FG46" s="229">
        <f t="shared" si="52"/>
        <v>10000000</v>
      </c>
      <c r="FH46" s="229">
        <f t="shared" si="52"/>
        <v>18016000</v>
      </c>
      <c r="FI46" s="229">
        <f t="shared" ref="FI46:HZ46" si="53">+FI30+FI32+FI33+FI35+FI40+FI42+FI45</f>
        <v>16091500</v>
      </c>
      <c r="FJ46" s="229">
        <f t="shared" si="53"/>
        <v>0</v>
      </c>
      <c r="FK46" s="229">
        <f t="shared" si="53"/>
        <v>0</v>
      </c>
      <c r="FL46" s="229">
        <f t="shared" si="53"/>
        <v>0</v>
      </c>
      <c r="FM46" s="229">
        <f t="shared" si="53"/>
        <v>0</v>
      </c>
      <c r="FN46" s="229">
        <f t="shared" si="53"/>
        <v>0</v>
      </c>
      <c r="FO46" s="229">
        <f t="shared" si="53"/>
        <v>0</v>
      </c>
      <c r="FP46" s="229">
        <f t="shared" si="53"/>
        <v>0</v>
      </c>
      <c r="FQ46" s="229">
        <f t="shared" si="53"/>
        <v>0</v>
      </c>
      <c r="FR46" s="229">
        <f t="shared" si="53"/>
        <v>0</v>
      </c>
      <c r="FS46" s="229">
        <f t="shared" si="53"/>
        <v>0</v>
      </c>
      <c r="FT46" s="229">
        <f t="shared" si="53"/>
        <v>0</v>
      </c>
      <c r="FU46" s="229">
        <f t="shared" si="53"/>
        <v>0</v>
      </c>
      <c r="FV46" s="229">
        <f t="shared" si="53"/>
        <v>0</v>
      </c>
      <c r="FW46" s="229">
        <f t="shared" si="53"/>
        <v>0</v>
      </c>
      <c r="FX46" s="229">
        <f t="shared" si="53"/>
        <v>0</v>
      </c>
      <c r="FY46" s="229">
        <f t="shared" si="53"/>
        <v>0</v>
      </c>
      <c r="FZ46" s="229">
        <f t="shared" si="53"/>
        <v>0</v>
      </c>
      <c r="GA46" s="229">
        <f t="shared" si="53"/>
        <v>0</v>
      </c>
      <c r="GB46" s="229">
        <f t="shared" si="53"/>
        <v>0</v>
      </c>
      <c r="GC46" s="229">
        <f t="shared" si="53"/>
        <v>0</v>
      </c>
      <c r="GD46" s="229">
        <f t="shared" si="53"/>
        <v>0</v>
      </c>
      <c r="GE46" s="229">
        <f t="shared" si="53"/>
        <v>0</v>
      </c>
      <c r="GF46" s="229">
        <f t="shared" si="53"/>
        <v>16945640</v>
      </c>
      <c r="GG46" s="229">
        <f t="shared" si="53"/>
        <v>16945640</v>
      </c>
      <c r="GH46" s="229">
        <f t="shared" si="53"/>
        <v>65000000</v>
      </c>
      <c r="GI46" s="229">
        <f t="shared" si="53"/>
        <v>0</v>
      </c>
      <c r="GJ46" s="229">
        <f t="shared" si="53"/>
        <v>0</v>
      </c>
      <c r="GK46" s="229">
        <f>+GK30+GK32+GK33+GK35+GK40+GK42+GK45</f>
        <v>0</v>
      </c>
      <c r="GL46" s="229">
        <f>+GL30+GL32+GL33+GL35+GL40+GL42+GL45</f>
        <v>0</v>
      </c>
      <c r="GM46" s="229">
        <f>+GM30+GM32+GM33+GM35+GM40+GM42+GM45</f>
        <v>0</v>
      </c>
      <c r="GN46" s="229">
        <f t="shared" si="53"/>
        <v>0</v>
      </c>
      <c r="GO46" s="229">
        <f t="shared" si="53"/>
        <v>64823814</v>
      </c>
      <c r="GP46" s="229">
        <f t="shared" si="53"/>
        <v>64823814</v>
      </c>
      <c r="GQ46" s="229">
        <f t="shared" si="53"/>
        <v>65000000</v>
      </c>
      <c r="GR46" s="229">
        <f t="shared" si="53"/>
        <v>0</v>
      </c>
      <c r="GS46" s="229">
        <f t="shared" si="53"/>
        <v>0</v>
      </c>
      <c r="GT46" s="229">
        <f>+GT30+GT32+GT33+GT35+GT40+GT42+GT45</f>
        <v>0</v>
      </c>
      <c r="GU46" s="229">
        <f>+GU30+GU32+GU33+GU35+GU40+GU42+GU45</f>
        <v>0</v>
      </c>
      <c r="GV46" s="229">
        <f>+GV30+GV32+GV33+GV35+GV40+GV42+GV45</f>
        <v>0</v>
      </c>
      <c r="GW46" s="229">
        <f t="shared" si="53"/>
        <v>0</v>
      </c>
      <c r="GX46" s="229">
        <f t="shared" si="53"/>
        <v>0</v>
      </c>
      <c r="GY46" s="229">
        <f t="shared" si="53"/>
        <v>0</v>
      </c>
      <c r="GZ46" s="229">
        <f t="shared" si="53"/>
        <v>0</v>
      </c>
      <c r="HA46" s="229">
        <f t="shared" si="53"/>
        <v>0</v>
      </c>
      <c r="HB46" s="229">
        <f t="shared" si="53"/>
        <v>0</v>
      </c>
      <c r="HC46" s="229">
        <f t="shared" si="53"/>
        <v>0</v>
      </c>
      <c r="HD46" s="229">
        <f t="shared" si="53"/>
        <v>0</v>
      </c>
      <c r="HE46" s="229">
        <f t="shared" si="53"/>
        <v>0</v>
      </c>
      <c r="HF46" s="229">
        <f t="shared" si="53"/>
        <v>0</v>
      </c>
      <c r="HG46" s="229">
        <f t="shared" si="53"/>
        <v>0</v>
      </c>
      <c r="HH46" s="229">
        <f t="shared" si="53"/>
        <v>0</v>
      </c>
      <c r="HI46" s="229">
        <f t="shared" si="53"/>
        <v>0</v>
      </c>
      <c r="HJ46" s="229">
        <f t="shared" si="53"/>
        <v>0</v>
      </c>
      <c r="HK46" s="229">
        <f t="shared" si="53"/>
        <v>0</v>
      </c>
      <c r="HL46" s="229">
        <f t="shared" si="53"/>
        <v>0</v>
      </c>
      <c r="HM46" s="229">
        <f t="shared" si="53"/>
        <v>0</v>
      </c>
      <c r="HN46" s="229">
        <f t="shared" si="53"/>
        <v>0</v>
      </c>
      <c r="HO46" s="229">
        <f t="shared" si="53"/>
        <v>0</v>
      </c>
      <c r="HP46" s="229">
        <f t="shared" si="53"/>
        <v>0</v>
      </c>
      <c r="HQ46" s="229">
        <f t="shared" si="53"/>
        <v>0</v>
      </c>
      <c r="HR46" s="229">
        <f t="shared" si="53"/>
        <v>0</v>
      </c>
      <c r="HS46" s="229">
        <f t="shared" si="53"/>
        <v>0</v>
      </c>
      <c r="HT46" s="229">
        <f t="shared" si="53"/>
        <v>0</v>
      </c>
      <c r="HU46" s="229">
        <f t="shared" si="53"/>
        <v>0</v>
      </c>
      <c r="HV46" s="229">
        <f t="shared" si="53"/>
        <v>0</v>
      </c>
      <c r="HW46" s="229">
        <f t="shared" si="53"/>
        <v>0</v>
      </c>
      <c r="HX46" s="229">
        <f t="shared" si="53"/>
        <v>0</v>
      </c>
      <c r="HY46" s="229">
        <f t="shared" si="53"/>
        <v>0</v>
      </c>
      <c r="HZ46" s="229">
        <f t="shared" si="53"/>
        <v>0</v>
      </c>
      <c r="IA46" s="229">
        <f t="shared" ref="IA46:KL46" si="54">+IA30+IA32+IA33+IA35+IA40+IA42+IA45</f>
        <v>0</v>
      </c>
      <c r="IB46" s="229">
        <f t="shared" si="54"/>
        <v>0</v>
      </c>
      <c r="IC46" s="229">
        <f t="shared" si="54"/>
        <v>0</v>
      </c>
      <c r="ID46" s="229">
        <f t="shared" si="54"/>
        <v>0</v>
      </c>
      <c r="IE46" s="229">
        <f t="shared" si="54"/>
        <v>0</v>
      </c>
      <c r="IF46" s="229">
        <f t="shared" si="54"/>
        <v>0</v>
      </c>
      <c r="IG46" s="229">
        <f t="shared" si="54"/>
        <v>0</v>
      </c>
      <c r="IH46" s="229">
        <f t="shared" si="54"/>
        <v>0</v>
      </c>
      <c r="II46" s="229">
        <f t="shared" si="54"/>
        <v>0</v>
      </c>
      <c r="IJ46" s="229">
        <f t="shared" si="54"/>
        <v>0</v>
      </c>
      <c r="IK46" s="229">
        <f t="shared" si="54"/>
        <v>0</v>
      </c>
      <c r="IL46" s="229">
        <f t="shared" si="54"/>
        <v>0</v>
      </c>
      <c r="IM46" s="229">
        <f t="shared" si="54"/>
        <v>0</v>
      </c>
      <c r="IN46" s="229">
        <f t="shared" si="54"/>
        <v>0</v>
      </c>
      <c r="IO46" s="229">
        <f t="shared" si="54"/>
        <v>0</v>
      </c>
      <c r="IP46" s="229">
        <f t="shared" si="54"/>
        <v>0</v>
      </c>
      <c r="IQ46" s="229">
        <f t="shared" si="54"/>
        <v>0</v>
      </c>
      <c r="IR46" s="229">
        <f t="shared" si="54"/>
        <v>0</v>
      </c>
      <c r="IS46" s="229">
        <f t="shared" si="54"/>
        <v>0</v>
      </c>
      <c r="IT46" s="229">
        <f t="shared" si="54"/>
        <v>0</v>
      </c>
      <c r="IU46" s="229">
        <f t="shared" si="54"/>
        <v>0</v>
      </c>
      <c r="IV46" s="229">
        <f t="shared" si="54"/>
        <v>0</v>
      </c>
      <c r="IW46" s="229">
        <f t="shared" si="54"/>
        <v>0</v>
      </c>
      <c r="IX46" s="229">
        <f t="shared" si="54"/>
        <v>0</v>
      </c>
      <c r="IY46" s="229">
        <f t="shared" si="54"/>
        <v>0</v>
      </c>
      <c r="IZ46" s="229">
        <f t="shared" si="54"/>
        <v>0</v>
      </c>
      <c r="JA46" s="229">
        <f t="shared" si="54"/>
        <v>0</v>
      </c>
      <c r="JB46" s="229">
        <f t="shared" si="54"/>
        <v>0</v>
      </c>
      <c r="JC46" s="229">
        <f t="shared" si="54"/>
        <v>0</v>
      </c>
      <c r="JD46" s="229">
        <f t="shared" si="54"/>
        <v>0</v>
      </c>
      <c r="JE46" s="229">
        <f t="shared" si="54"/>
        <v>0</v>
      </c>
      <c r="JF46" s="229">
        <f t="shared" si="54"/>
        <v>0</v>
      </c>
      <c r="JG46" s="229">
        <f t="shared" si="54"/>
        <v>0</v>
      </c>
      <c r="JH46" s="229">
        <f t="shared" si="54"/>
        <v>8841120</v>
      </c>
      <c r="JI46" s="229">
        <f t="shared" si="54"/>
        <v>8841120</v>
      </c>
      <c r="JJ46" s="229">
        <f t="shared" si="54"/>
        <v>0</v>
      </c>
      <c r="JK46" s="229">
        <f t="shared" si="54"/>
        <v>7723234</v>
      </c>
      <c r="JL46" s="229">
        <f t="shared" si="54"/>
        <v>7723234</v>
      </c>
      <c r="JM46" s="229">
        <f t="shared" si="54"/>
        <v>0</v>
      </c>
      <c r="JN46" s="229">
        <f t="shared" si="54"/>
        <v>0</v>
      </c>
      <c r="JO46" s="229">
        <f t="shared" si="54"/>
        <v>0</v>
      </c>
      <c r="JP46" s="229">
        <f t="shared" si="54"/>
        <v>0</v>
      </c>
      <c r="JQ46" s="229">
        <f t="shared" si="54"/>
        <v>0</v>
      </c>
      <c r="JR46" s="229">
        <f t="shared" si="54"/>
        <v>0</v>
      </c>
      <c r="JS46" s="229">
        <f t="shared" si="54"/>
        <v>0</v>
      </c>
      <c r="JT46" s="229">
        <f t="shared" si="54"/>
        <v>0</v>
      </c>
      <c r="JU46" s="229">
        <f t="shared" si="54"/>
        <v>0</v>
      </c>
      <c r="JV46" s="229">
        <f t="shared" si="54"/>
        <v>0</v>
      </c>
      <c r="JW46" s="229">
        <f t="shared" si="54"/>
        <v>0</v>
      </c>
      <c r="JX46" s="229">
        <f t="shared" si="54"/>
        <v>0</v>
      </c>
      <c r="JY46" s="229">
        <f t="shared" si="54"/>
        <v>0</v>
      </c>
      <c r="JZ46" s="229">
        <f t="shared" si="54"/>
        <v>0</v>
      </c>
      <c r="KA46" s="229">
        <f t="shared" si="54"/>
        <v>0</v>
      </c>
      <c r="KB46" s="229">
        <f t="shared" si="54"/>
        <v>0</v>
      </c>
      <c r="KC46" s="229">
        <f t="shared" si="54"/>
        <v>0</v>
      </c>
      <c r="KD46" s="229">
        <f t="shared" si="54"/>
        <v>0</v>
      </c>
      <c r="KE46" s="229">
        <f t="shared" si="54"/>
        <v>0</v>
      </c>
      <c r="KF46" s="229">
        <f t="shared" si="54"/>
        <v>0</v>
      </c>
      <c r="KG46" s="229">
        <f t="shared" si="54"/>
        <v>0</v>
      </c>
      <c r="KH46" s="229">
        <f t="shared" si="54"/>
        <v>0</v>
      </c>
      <c r="KI46" s="229">
        <f t="shared" si="54"/>
        <v>0</v>
      </c>
      <c r="KJ46" s="229">
        <f t="shared" si="54"/>
        <v>0</v>
      </c>
      <c r="KK46" s="229">
        <f t="shared" si="54"/>
        <v>0</v>
      </c>
      <c r="KL46" s="229">
        <f t="shared" si="54"/>
        <v>0</v>
      </c>
      <c r="KM46" s="229">
        <f t="shared" ref="KM46:MX46" si="55">+KM30+KM32+KM33+KM35+KM40+KM42+KM45</f>
        <v>0</v>
      </c>
      <c r="KN46" s="229">
        <f t="shared" si="55"/>
        <v>0</v>
      </c>
      <c r="KO46" s="229">
        <f t="shared" si="55"/>
        <v>0</v>
      </c>
      <c r="KP46" s="229">
        <f t="shared" si="55"/>
        <v>0</v>
      </c>
      <c r="KQ46" s="229">
        <f t="shared" si="55"/>
        <v>0</v>
      </c>
      <c r="KR46" s="229">
        <f t="shared" si="55"/>
        <v>0</v>
      </c>
      <c r="KS46" s="229">
        <f t="shared" si="55"/>
        <v>0</v>
      </c>
      <c r="KT46" s="229">
        <f t="shared" si="55"/>
        <v>0</v>
      </c>
      <c r="KU46" s="229">
        <f t="shared" si="55"/>
        <v>0</v>
      </c>
      <c r="KV46" s="229">
        <f t="shared" si="55"/>
        <v>0</v>
      </c>
      <c r="KW46" s="229">
        <f t="shared" si="55"/>
        <v>0</v>
      </c>
      <c r="KX46" s="229">
        <f t="shared" si="55"/>
        <v>0</v>
      </c>
      <c r="KY46" s="229">
        <f t="shared" si="55"/>
        <v>0</v>
      </c>
      <c r="KZ46" s="229">
        <f t="shared" si="55"/>
        <v>0</v>
      </c>
      <c r="LA46" s="229">
        <f t="shared" si="55"/>
        <v>0</v>
      </c>
      <c r="LB46" s="229">
        <f t="shared" si="55"/>
        <v>0</v>
      </c>
      <c r="LC46" s="229">
        <f t="shared" si="55"/>
        <v>0</v>
      </c>
      <c r="LD46" s="229">
        <f t="shared" si="55"/>
        <v>0</v>
      </c>
      <c r="LE46" s="229">
        <f t="shared" si="55"/>
        <v>0</v>
      </c>
      <c r="LF46" s="229">
        <f t="shared" si="55"/>
        <v>0</v>
      </c>
      <c r="LG46" s="229">
        <f t="shared" si="55"/>
        <v>0</v>
      </c>
      <c r="LH46" s="229">
        <f t="shared" si="55"/>
        <v>0</v>
      </c>
      <c r="LI46" s="229">
        <f t="shared" si="55"/>
        <v>0</v>
      </c>
      <c r="LJ46" s="229">
        <f t="shared" si="55"/>
        <v>0</v>
      </c>
      <c r="LK46" s="229">
        <f t="shared" si="55"/>
        <v>0</v>
      </c>
      <c r="LL46" s="229">
        <f t="shared" si="55"/>
        <v>0</v>
      </c>
      <c r="LM46" s="229">
        <f t="shared" si="55"/>
        <v>0</v>
      </c>
      <c r="LN46" s="229">
        <f t="shared" si="55"/>
        <v>0</v>
      </c>
      <c r="LO46" s="229">
        <f t="shared" si="55"/>
        <v>0</v>
      </c>
      <c r="LP46" s="229">
        <f t="shared" si="55"/>
        <v>0</v>
      </c>
      <c r="LQ46" s="229">
        <f t="shared" si="55"/>
        <v>0</v>
      </c>
      <c r="LR46" s="229">
        <f t="shared" si="55"/>
        <v>0</v>
      </c>
      <c r="LS46" s="229">
        <f t="shared" si="55"/>
        <v>0</v>
      </c>
      <c r="LT46" s="229">
        <f t="shared" si="55"/>
        <v>0</v>
      </c>
      <c r="LU46" s="229">
        <f t="shared" si="55"/>
        <v>0</v>
      </c>
      <c r="LV46" s="229">
        <f t="shared" si="55"/>
        <v>0</v>
      </c>
      <c r="LW46" s="229">
        <f t="shared" si="55"/>
        <v>0</v>
      </c>
      <c r="LX46" s="229">
        <f t="shared" si="55"/>
        <v>0</v>
      </c>
      <c r="LY46" s="229">
        <f t="shared" si="55"/>
        <v>0</v>
      </c>
      <c r="LZ46" s="229">
        <f t="shared" si="55"/>
        <v>0</v>
      </c>
      <c r="MA46" s="229">
        <f t="shared" si="55"/>
        <v>0</v>
      </c>
      <c r="MB46" s="229">
        <f t="shared" si="55"/>
        <v>0</v>
      </c>
      <c r="MC46" s="229">
        <f t="shared" si="55"/>
        <v>0</v>
      </c>
      <c r="MD46" s="229">
        <f t="shared" si="55"/>
        <v>0</v>
      </c>
      <c r="ME46" s="229">
        <f t="shared" si="55"/>
        <v>0</v>
      </c>
      <c r="MF46" s="229">
        <f t="shared" si="55"/>
        <v>0</v>
      </c>
      <c r="MG46" s="229">
        <f t="shared" si="55"/>
        <v>0</v>
      </c>
      <c r="MH46" s="229">
        <f t="shared" si="55"/>
        <v>0</v>
      </c>
      <c r="MI46" s="229">
        <f t="shared" si="55"/>
        <v>0</v>
      </c>
      <c r="MJ46" s="229">
        <f t="shared" si="55"/>
        <v>0</v>
      </c>
      <c r="MK46" s="229">
        <f t="shared" si="55"/>
        <v>0</v>
      </c>
      <c r="ML46" s="229">
        <f t="shared" si="55"/>
        <v>0</v>
      </c>
      <c r="MM46" s="229">
        <f t="shared" si="55"/>
        <v>0</v>
      </c>
      <c r="MN46" s="229">
        <f t="shared" si="55"/>
        <v>0</v>
      </c>
      <c r="MO46" s="229">
        <f t="shared" si="55"/>
        <v>0</v>
      </c>
      <c r="MP46" s="229">
        <f t="shared" si="55"/>
        <v>0</v>
      </c>
      <c r="MQ46" s="229">
        <f t="shared" si="55"/>
        <v>0</v>
      </c>
      <c r="MR46" s="229">
        <f t="shared" si="55"/>
        <v>0</v>
      </c>
      <c r="MS46" s="229">
        <f t="shared" si="55"/>
        <v>0</v>
      </c>
      <c r="MT46" s="229">
        <f t="shared" si="55"/>
        <v>0</v>
      </c>
      <c r="MU46" s="229">
        <f t="shared" si="55"/>
        <v>0</v>
      </c>
      <c r="MV46" s="229">
        <f t="shared" si="55"/>
        <v>0</v>
      </c>
      <c r="MW46" s="229">
        <f t="shared" si="55"/>
        <v>0</v>
      </c>
      <c r="MX46" s="229">
        <f t="shared" si="55"/>
        <v>0</v>
      </c>
      <c r="MY46" s="663">
        <f t="shared" si="0"/>
        <v>2653634215</v>
      </c>
      <c r="MZ46" s="663">
        <f t="shared" si="1"/>
        <v>2643407570</v>
      </c>
      <c r="NA46" s="663">
        <f t="shared" si="2"/>
        <v>214525342</v>
      </c>
      <c r="NB46" s="663">
        <f t="shared" si="3"/>
        <v>212268862</v>
      </c>
      <c r="NC46" s="663"/>
    </row>
    <row r="47" spans="1:367" s="215" customFormat="1" ht="21.75" customHeight="1" x14ac:dyDescent="0.25">
      <c r="A47" s="208" t="s">
        <v>283</v>
      </c>
      <c r="B47" s="224" t="s">
        <v>110</v>
      </c>
      <c r="C47" s="210"/>
      <c r="D47" s="229">
        <f>+D31+D34+D36+D41+D43+D44</f>
        <v>0</v>
      </c>
      <c r="E47" s="229">
        <f t="shared" ref="E47:CV47" si="56">+E31+E34+E36+E41+E43+E44</f>
        <v>0</v>
      </c>
      <c r="F47" s="229">
        <f t="shared" si="56"/>
        <v>0</v>
      </c>
      <c r="G47" s="229">
        <f t="shared" si="56"/>
        <v>0</v>
      </c>
      <c r="H47" s="229">
        <f t="shared" si="56"/>
        <v>0</v>
      </c>
      <c r="I47" s="229">
        <f t="shared" si="56"/>
        <v>0</v>
      </c>
      <c r="J47" s="229">
        <f t="shared" si="56"/>
        <v>0</v>
      </c>
      <c r="K47" s="229">
        <f t="shared" si="56"/>
        <v>0</v>
      </c>
      <c r="L47" s="229">
        <f t="shared" si="56"/>
        <v>0</v>
      </c>
      <c r="M47" s="229">
        <f t="shared" si="56"/>
        <v>0</v>
      </c>
      <c r="N47" s="229">
        <f t="shared" si="56"/>
        <v>0</v>
      </c>
      <c r="O47" s="229">
        <f t="shared" si="56"/>
        <v>0</v>
      </c>
      <c r="P47" s="229">
        <f t="shared" si="56"/>
        <v>0</v>
      </c>
      <c r="Q47" s="229">
        <f t="shared" si="56"/>
        <v>0</v>
      </c>
      <c r="R47" s="229">
        <f t="shared" si="56"/>
        <v>0</v>
      </c>
      <c r="S47" s="229">
        <f t="shared" si="56"/>
        <v>0</v>
      </c>
      <c r="T47" s="229">
        <f t="shared" si="56"/>
        <v>0</v>
      </c>
      <c r="U47" s="229">
        <f t="shared" si="56"/>
        <v>0</v>
      </c>
      <c r="V47" s="229">
        <f t="shared" si="56"/>
        <v>0</v>
      </c>
      <c r="W47" s="229">
        <f t="shared" si="56"/>
        <v>0</v>
      </c>
      <c r="X47" s="229">
        <f t="shared" si="56"/>
        <v>0</v>
      </c>
      <c r="Y47" s="229">
        <f t="shared" si="56"/>
        <v>0</v>
      </c>
      <c r="Z47" s="229">
        <f t="shared" si="56"/>
        <v>0</v>
      </c>
      <c r="AA47" s="229">
        <f t="shared" si="56"/>
        <v>0</v>
      </c>
      <c r="AB47" s="229">
        <f t="shared" si="56"/>
        <v>0</v>
      </c>
      <c r="AC47" s="229">
        <f t="shared" si="56"/>
        <v>0</v>
      </c>
      <c r="AD47" s="229">
        <f t="shared" si="56"/>
        <v>0</v>
      </c>
      <c r="AE47" s="229">
        <f t="shared" si="56"/>
        <v>0</v>
      </c>
      <c r="AF47" s="229">
        <f t="shared" si="56"/>
        <v>0</v>
      </c>
      <c r="AG47" s="229">
        <f t="shared" si="56"/>
        <v>0</v>
      </c>
      <c r="AH47" s="229">
        <f t="shared" si="56"/>
        <v>1498800</v>
      </c>
      <c r="AI47" s="229">
        <f t="shared" si="56"/>
        <v>2489550</v>
      </c>
      <c r="AJ47" s="229">
        <f t="shared" si="56"/>
        <v>2489550</v>
      </c>
      <c r="AK47" s="229">
        <f t="shared" si="56"/>
        <v>720079203</v>
      </c>
      <c r="AL47" s="229">
        <f t="shared" si="56"/>
        <v>741863797</v>
      </c>
      <c r="AM47" s="229">
        <f t="shared" si="56"/>
        <v>741863797</v>
      </c>
      <c r="AN47" s="229">
        <f t="shared" si="56"/>
        <v>1259006031</v>
      </c>
      <c r="AO47" s="229">
        <f t="shared" si="56"/>
        <v>1369266221</v>
      </c>
      <c r="AP47" s="229">
        <f t="shared" si="56"/>
        <v>1369266221</v>
      </c>
      <c r="AQ47" s="229">
        <f t="shared" si="56"/>
        <v>0</v>
      </c>
      <c r="AR47" s="229">
        <f t="shared" si="56"/>
        <v>0</v>
      </c>
      <c r="AS47" s="229">
        <f t="shared" si="56"/>
        <v>0</v>
      </c>
      <c r="AT47" s="229">
        <f t="shared" si="56"/>
        <v>0</v>
      </c>
      <c r="AU47" s="229">
        <f t="shared" si="56"/>
        <v>0</v>
      </c>
      <c r="AV47" s="229">
        <f t="shared" si="56"/>
        <v>0</v>
      </c>
      <c r="AW47" s="229">
        <f t="shared" si="56"/>
        <v>0</v>
      </c>
      <c r="AX47" s="229">
        <f t="shared" si="56"/>
        <v>0</v>
      </c>
      <c r="AY47" s="229">
        <f t="shared" si="56"/>
        <v>0</v>
      </c>
      <c r="AZ47" s="229">
        <f t="shared" si="56"/>
        <v>0</v>
      </c>
      <c r="BA47" s="229">
        <f t="shared" si="56"/>
        <v>0</v>
      </c>
      <c r="BB47" s="229">
        <f t="shared" si="56"/>
        <v>0</v>
      </c>
      <c r="BC47" s="229">
        <f t="shared" si="56"/>
        <v>0</v>
      </c>
      <c r="BD47" s="229">
        <f t="shared" si="56"/>
        <v>0</v>
      </c>
      <c r="BE47" s="229">
        <f t="shared" si="56"/>
        <v>0</v>
      </c>
      <c r="BF47" s="229">
        <f t="shared" si="56"/>
        <v>0</v>
      </c>
      <c r="BG47" s="229">
        <f t="shared" si="56"/>
        <v>0</v>
      </c>
      <c r="BH47" s="229">
        <f t="shared" si="56"/>
        <v>0</v>
      </c>
      <c r="BI47" s="229">
        <f t="shared" si="56"/>
        <v>0</v>
      </c>
      <c r="BJ47" s="229">
        <f t="shared" si="56"/>
        <v>0</v>
      </c>
      <c r="BK47" s="229">
        <f t="shared" si="56"/>
        <v>0</v>
      </c>
      <c r="BL47" s="229">
        <f t="shared" si="56"/>
        <v>0</v>
      </c>
      <c r="BM47" s="229">
        <f t="shared" si="56"/>
        <v>0</v>
      </c>
      <c r="BN47" s="229">
        <f t="shared" si="56"/>
        <v>0</v>
      </c>
      <c r="BO47" s="229">
        <f t="shared" si="56"/>
        <v>0</v>
      </c>
      <c r="BP47" s="229">
        <f t="shared" si="56"/>
        <v>0</v>
      </c>
      <c r="BQ47" s="229">
        <f t="shared" si="56"/>
        <v>0</v>
      </c>
      <c r="BR47" s="229">
        <f t="shared" si="56"/>
        <v>0</v>
      </c>
      <c r="BS47" s="229">
        <f t="shared" si="56"/>
        <v>0</v>
      </c>
      <c r="BT47" s="229">
        <f t="shared" si="56"/>
        <v>0</v>
      </c>
      <c r="BU47" s="229">
        <f t="shared" si="56"/>
        <v>0</v>
      </c>
      <c r="BV47" s="229">
        <f t="shared" si="56"/>
        <v>0</v>
      </c>
      <c r="BW47" s="229">
        <f t="shared" si="56"/>
        <v>0</v>
      </c>
      <c r="BX47" s="229">
        <f t="shared" si="56"/>
        <v>0</v>
      </c>
      <c r="BY47" s="229">
        <f t="shared" si="56"/>
        <v>0</v>
      </c>
      <c r="BZ47" s="229">
        <f t="shared" si="56"/>
        <v>0</v>
      </c>
      <c r="CA47" s="229">
        <f t="shared" si="56"/>
        <v>0</v>
      </c>
      <c r="CB47" s="229">
        <f t="shared" si="56"/>
        <v>0</v>
      </c>
      <c r="CC47" s="229">
        <f t="shared" si="56"/>
        <v>0</v>
      </c>
      <c r="CD47" s="229">
        <f t="shared" si="56"/>
        <v>0</v>
      </c>
      <c r="CE47" s="229">
        <f t="shared" si="56"/>
        <v>0</v>
      </c>
      <c r="CF47" s="229">
        <f t="shared" si="56"/>
        <v>0</v>
      </c>
      <c r="CG47" s="229">
        <f t="shared" si="56"/>
        <v>0</v>
      </c>
      <c r="CH47" s="229">
        <f t="shared" si="56"/>
        <v>0</v>
      </c>
      <c r="CI47" s="229">
        <f t="shared" si="56"/>
        <v>0</v>
      </c>
      <c r="CJ47" s="229">
        <f t="shared" si="56"/>
        <v>0</v>
      </c>
      <c r="CK47" s="229">
        <f t="shared" si="56"/>
        <v>0</v>
      </c>
      <c r="CL47" s="229">
        <f t="shared" si="56"/>
        <v>0</v>
      </c>
      <c r="CM47" s="229">
        <f t="shared" si="56"/>
        <v>0</v>
      </c>
      <c r="CN47" s="229">
        <f t="shared" si="56"/>
        <v>0</v>
      </c>
      <c r="CO47" s="229">
        <f t="shared" si="56"/>
        <v>0</v>
      </c>
      <c r="CP47" s="229">
        <f t="shared" si="56"/>
        <v>0</v>
      </c>
      <c r="CQ47" s="229">
        <f t="shared" si="56"/>
        <v>0</v>
      </c>
      <c r="CR47" s="229">
        <f t="shared" si="56"/>
        <v>0</v>
      </c>
      <c r="CS47" s="229">
        <f t="shared" si="56"/>
        <v>0</v>
      </c>
      <c r="CT47" s="229">
        <f t="shared" si="56"/>
        <v>0</v>
      </c>
      <c r="CU47" s="229">
        <f t="shared" si="56"/>
        <v>0</v>
      </c>
      <c r="CV47" s="229">
        <f t="shared" si="56"/>
        <v>0</v>
      </c>
      <c r="CW47" s="229">
        <f t="shared" ref="CW47:FH47" si="57">+CW31+CW34+CW36+CW41+CW43+CW44</f>
        <v>0</v>
      </c>
      <c r="CX47" s="229">
        <f t="shared" si="57"/>
        <v>0</v>
      </c>
      <c r="CY47" s="229">
        <f t="shared" si="57"/>
        <v>0</v>
      </c>
      <c r="CZ47" s="229">
        <f t="shared" si="57"/>
        <v>0</v>
      </c>
      <c r="DA47" s="229">
        <f t="shared" si="57"/>
        <v>0</v>
      </c>
      <c r="DB47" s="229">
        <f t="shared" si="57"/>
        <v>0</v>
      </c>
      <c r="DC47" s="229">
        <f t="shared" si="57"/>
        <v>0</v>
      </c>
      <c r="DD47" s="229">
        <f t="shared" si="57"/>
        <v>0</v>
      </c>
      <c r="DE47" s="229">
        <f t="shared" si="57"/>
        <v>0</v>
      </c>
      <c r="DF47" s="229">
        <f t="shared" si="57"/>
        <v>0</v>
      </c>
      <c r="DG47" s="229">
        <f t="shared" si="57"/>
        <v>0</v>
      </c>
      <c r="DH47" s="229">
        <f t="shared" si="57"/>
        <v>0</v>
      </c>
      <c r="DI47" s="229">
        <f t="shared" si="57"/>
        <v>0</v>
      </c>
      <c r="DJ47" s="229">
        <f t="shared" si="57"/>
        <v>0</v>
      </c>
      <c r="DK47" s="229">
        <f t="shared" si="57"/>
        <v>0</v>
      </c>
      <c r="DL47" s="229">
        <f t="shared" si="57"/>
        <v>0</v>
      </c>
      <c r="DM47" s="229">
        <f t="shared" si="57"/>
        <v>0</v>
      </c>
      <c r="DN47" s="229">
        <f t="shared" si="57"/>
        <v>0</v>
      </c>
      <c r="DO47" s="229">
        <f t="shared" si="57"/>
        <v>0</v>
      </c>
      <c r="DP47" s="229">
        <f t="shared" si="57"/>
        <v>0</v>
      </c>
      <c r="DQ47" s="229">
        <f t="shared" si="57"/>
        <v>0</v>
      </c>
      <c r="DR47" s="229">
        <f t="shared" si="57"/>
        <v>0</v>
      </c>
      <c r="DS47" s="229">
        <f t="shared" si="57"/>
        <v>0</v>
      </c>
      <c r="DT47" s="229">
        <f t="shared" si="57"/>
        <v>0</v>
      </c>
      <c r="DU47" s="229">
        <f t="shared" si="57"/>
        <v>0</v>
      </c>
      <c r="DV47" s="229">
        <f t="shared" si="57"/>
        <v>0</v>
      </c>
      <c r="DW47" s="229">
        <f t="shared" si="57"/>
        <v>0</v>
      </c>
      <c r="DX47" s="229">
        <f t="shared" si="57"/>
        <v>0</v>
      </c>
      <c r="DY47" s="229">
        <f t="shared" si="57"/>
        <v>0</v>
      </c>
      <c r="DZ47" s="229">
        <f t="shared" si="57"/>
        <v>0</v>
      </c>
      <c r="EA47" s="229">
        <f t="shared" si="57"/>
        <v>0</v>
      </c>
      <c r="EB47" s="229">
        <f t="shared" si="57"/>
        <v>0</v>
      </c>
      <c r="EC47" s="229">
        <f t="shared" si="57"/>
        <v>0</v>
      </c>
      <c r="ED47" s="229">
        <f t="shared" si="57"/>
        <v>0</v>
      </c>
      <c r="EE47" s="229">
        <f t="shared" si="57"/>
        <v>0</v>
      </c>
      <c r="EF47" s="229">
        <f t="shared" si="57"/>
        <v>0</v>
      </c>
      <c r="EG47" s="229">
        <f t="shared" si="57"/>
        <v>0</v>
      </c>
      <c r="EH47" s="229">
        <f t="shared" si="57"/>
        <v>0</v>
      </c>
      <c r="EI47" s="229">
        <f t="shared" si="57"/>
        <v>0</v>
      </c>
      <c r="EJ47" s="229">
        <f t="shared" si="57"/>
        <v>0</v>
      </c>
      <c r="EK47" s="229">
        <f t="shared" si="57"/>
        <v>0</v>
      </c>
      <c r="EL47" s="229">
        <f t="shared" si="57"/>
        <v>0</v>
      </c>
      <c r="EM47" s="229">
        <f t="shared" si="57"/>
        <v>0</v>
      </c>
      <c r="EN47" s="229">
        <f t="shared" si="57"/>
        <v>0</v>
      </c>
      <c r="EO47" s="229">
        <f t="shared" si="57"/>
        <v>0</v>
      </c>
      <c r="EP47" s="229">
        <f t="shared" si="57"/>
        <v>0</v>
      </c>
      <c r="EQ47" s="229">
        <f t="shared" si="57"/>
        <v>0</v>
      </c>
      <c r="ER47" s="229">
        <f t="shared" si="57"/>
        <v>0</v>
      </c>
      <c r="ES47" s="229">
        <f t="shared" si="57"/>
        <v>0</v>
      </c>
      <c r="ET47" s="229">
        <f t="shared" si="57"/>
        <v>0</v>
      </c>
      <c r="EU47" s="229">
        <f t="shared" si="57"/>
        <v>0</v>
      </c>
      <c r="EV47" s="229">
        <f t="shared" si="57"/>
        <v>0</v>
      </c>
      <c r="EW47" s="229">
        <f t="shared" si="57"/>
        <v>0</v>
      </c>
      <c r="EX47" s="229">
        <f t="shared" si="57"/>
        <v>0</v>
      </c>
      <c r="EY47" s="229">
        <f t="shared" si="57"/>
        <v>0</v>
      </c>
      <c r="EZ47" s="229">
        <f t="shared" si="57"/>
        <v>0</v>
      </c>
      <c r="FA47" s="229">
        <f t="shared" si="57"/>
        <v>0</v>
      </c>
      <c r="FB47" s="229">
        <f t="shared" si="57"/>
        <v>0</v>
      </c>
      <c r="FC47" s="229">
        <f t="shared" si="57"/>
        <v>0</v>
      </c>
      <c r="FD47" s="229">
        <f t="shared" si="57"/>
        <v>0</v>
      </c>
      <c r="FE47" s="229">
        <f t="shared" si="57"/>
        <v>0</v>
      </c>
      <c r="FF47" s="229">
        <f t="shared" si="57"/>
        <v>0</v>
      </c>
      <c r="FG47" s="229">
        <f t="shared" si="57"/>
        <v>0</v>
      </c>
      <c r="FH47" s="229">
        <f t="shared" si="57"/>
        <v>0</v>
      </c>
      <c r="FI47" s="229">
        <f t="shared" ref="FI47:HZ47" si="58">+FI31+FI34+FI36+FI41+FI43+FI44</f>
        <v>0</v>
      </c>
      <c r="FJ47" s="229">
        <f t="shared" si="58"/>
        <v>0</v>
      </c>
      <c r="FK47" s="229">
        <f t="shared" si="58"/>
        <v>0</v>
      </c>
      <c r="FL47" s="229">
        <f t="shared" si="58"/>
        <v>0</v>
      </c>
      <c r="FM47" s="229">
        <f t="shared" si="58"/>
        <v>0</v>
      </c>
      <c r="FN47" s="229">
        <f t="shared" si="58"/>
        <v>0</v>
      </c>
      <c r="FO47" s="229">
        <f t="shared" si="58"/>
        <v>0</v>
      </c>
      <c r="FP47" s="229">
        <f t="shared" si="58"/>
        <v>0</v>
      </c>
      <c r="FQ47" s="229">
        <f t="shared" si="58"/>
        <v>0</v>
      </c>
      <c r="FR47" s="229">
        <f t="shared" si="58"/>
        <v>0</v>
      </c>
      <c r="FS47" s="229">
        <f t="shared" si="58"/>
        <v>0</v>
      </c>
      <c r="FT47" s="229">
        <f t="shared" si="58"/>
        <v>0</v>
      </c>
      <c r="FU47" s="229">
        <f t="shared" si="58"/>
        <v>0</v>
      </c>
      <c r="FV47" s="229">
        <f t="shared" si="58"/>
        <v>0</v>
      </c>
      <c r="FW47" s="229">
        <f t="shared" si="58"/>
        <v>0</v>
      </c>
      <c r="FX47" s="229">
        <f t="shared" si="58"/>
        <v>0</v>
      </c>
      <c r="FY47" s="229">
        <f t="shared" si="58"/>
        <v>0</v>
      </c>
      <c r="FZ47" s="229">
        <f t="shared" si="58"/>
        <v>0</v>
      </c>
      <c r="GA47" s="229">
        <f t="shared" si="58"/>
        <v>0</v>
      </c>
      <c r="GB47" s="229">
        <f t="shared" si="58"/>
        <v>0</v>
      </c>
      <c r="GC47" s="229">
        <f t="shared" si="58"/>
        <v>0</v>
      </c>
      <c r="GD47" s="229">
        <f t="shared" si="58"/>
        <v>0</v>
      </c>
      <c r="GE47" s="229">
        <f t="shared" si="58"/>
        <v>0</v>
      </c>
      <c r="GF47" s="229">
        <f t="shared" si="58"/>
        <v>0</v>
      </c>
      <c r="GG47" s="229">
        <f t="shared" si="58"/>
        <v>0</v>
      </c>
      <c r="GH47" s="229">
        <f t="shared" si="58"/>
        <v>0</v>
      </c>
      <c r="GI47" s="229">
        <f t="shared" si="58"/>
        <v>0</v>
      </c>
      <c r="GJ47" s="229">
        <f t="shared" si="58"/>
        <v>0</v>
      </c>
      <c r="GK47" s="229">
        <f>+GK31+GK34+GK36+GK41+GK43+GK44</f>
        <v>0</v>
      </c>
      <c r="GL47" s="229">
        <f>+GL31+GL34+GL36+GL41+GL43+GL44</f>
        <v>0</v>
      </c>
      <c r="GM47" s="229">
        <f>+GM31+GM34+GM36+GM41+GM43+GM44</f>
        <v>0</v>
      </c>
      <c r="GN47" s="229">
        <f t="shared" si="58"/>
        <v>0</v>
      </c>
      <c r="GO47" s="229">
        <f t="shared" si="58"/>
        <v>0</v>
      </c>
      <c r="GP47" s="229">
        <f t="shared" si="58"/>
        <v>0</v>
      </c>
      <c r="GQ47" s="229">
        <f t="shared" si="58"/>
        <v>0</v>
      </c>
      <c r="GR47" s="229">
        <f t="shared" si="58"/>
        <v>0</v>
      </c>
      <c r="GS47" s="229">
        <f t="shared" si="58"/>
        <v>0</v>
      </c>
      <c r="GT47" s="229">
        <f>+GT31+GT34+GT36+GT41+GT43+GT44</f>
        <v>0</v>
      </c>
      <c r="GU47" s="229">
        <f>+GU31+GU34+GU36+GU41+GU43+GU44</f>
        <v>0</v>
      </c>
      <c r="GV47" s="229">
        <f>+GV31+GV34+GV36+GV41+GV43+GV44</f>
        <v>0</v>
      </c>
      <c r="GW47" s="229">
        <f t="shared" si="58"/>
        <v>0</v>
      </c>
      <c r="GX47" s="229">
        <f t="shared" si="58"/>
        <v>0</v>
      </c>
      <c r="GY47" s="229">
        <f t="shared" si="58"/>
        <v>0</v>
      </c>
      <c r="GZ47" s="229">
        <f t="shared" si="58"/>
        <v>0</v>
      </c>
      <c r="HA47" s="229">
        <f t="shared" si="58"/>
        <v>0</v>
      </c>
      <c r="HB47" s="229">
        <f t="shared" si="58"/>
        <v>0</v>
      </c>
      <c r="HC47" s="229">
        <f t="shared" si="58"/>
        <v>0</v>
      </c>
      <c r="HD47" s="229">
        <f t="shared" si="58"/>
        <v>0</v>
      </c>
      <c r="HE47" s="229">
        <f t="shared" si="58"/>
        <v>0</v>
      </c>
      <c r="HF47" s="229">
        <f t="shared" si="58"/>
        <v>0</v>
      </c>
      <c r="HG47" s="229">
        <f t="shared" si="58"/>
        <v>0</v>
      </c>
      <c r="HH47" s="229">
        <f t="shared" si="58"/>
        <v>0</v>
      </c>
      <c r="HI47" s="229">
        <f t="shared" si="58"/>
        <v>0</v>
      </c>
      <c r="HJ47" s="229">
        <f t="shared" si="58"/>
        <v>0</v>
      </c>
      <c r="HK47" s="229">
        <f t="shared" si="58"/>
        <v>0</v>
      </c>
      <c r="HL47" s="229">
        <f t="shared" si="58"/>
        <v>0</v>
      </c>
      <c r="HM47" s="229">
        <f t="shared" si="58"/>
        <v>0</v>
      </c>
      <c r="HN47" s="229">
        <f t="shared" si="58"/>
        <v>0</v>
      </c>
      <c r="HO47" s="229">
        <f t="shared" si="58"/>
        <v>0</v>
      </c>
      <c r="HP47" s="229">
        <f t="shared" si="58"/>
        <v>0</v>
      </c>
      <c r="HQ47" s="229">
        <f t="shared" si="58"/>
        <v>0</v>
      </c>
      <c r="HR47" s="229">
        <f t="shared" si="58"/>
        <v>0</v>
      </c>
      <c r="HS47" s="229">
        <f t="shared" si="58"/>
        <v>0</v>
      </c>
      <c r="HT47" s="229">
        <f t="shared" si="58"/>
        <v>0</v>
      </c>
      <c r="HU47" s="229">
        <f t="shared" si="58"/>
        <v>0</v>
      </c>
      <c r="HV47" s="229">
        <f t="shared" si="58"/>
        <v>0</v>
      </c>
      <c r="HW47" s="229">
        <f t="shared" si="58"/>
        <v>0</v>
      </c>
      <c r="HX47" s="229">
        <f t="shared" si="58"/>
        <v>0</v>
      </c>
      <c r="HY47" s="229">
        <f t="shared" si="58"/>
        <v>0</v>
      </c>
      <c r="HZ47" s="229">
        <f t="shared" si="58"/>
        <v>0</v>
      </c>
      <c r="IA47" s="229">
        <f t="shared" ref="IA47:KL47" si="59">+IA31+IA34+IA36+IA41+IA43+IA44</f>
        <v>0</v>
      </c>
      <c r="IB47" s="229">
        <f t="shared" si="59"/>
        <v>0</v>
      </c>
      <c r="IC47" s="229">
        <f t="shared" si="59"/>
        <v>0</v>
      </c>
      <c r="ID47" s="229">
        <f t="shared" si="59"/>
        <v>0</v>
      </c>
      <c r="IE47" s="229">
        <f t="shared" si="59"/>
        <v>0</v>
      </c>
      <c r="IF47" s="229">
        <f t="shared" si="59"/>
        <v>0</v>
      </c>
      <c r="IG47" s="229">
        <f t="shared" si="59"/>
        <v>0</v>
      </c>
      <c r="IH47" s="229">
        <f t="shared" si="59"/>
        <v>0</v>
      </c>
      <c r="II47" s="229">
        <f t="shared" si="59"/>
        <v>0</v>
      </c>
      <c r="IJ47" s="229">
        <f t="shared" si="59"/>
        <v>0</v>
      </c>
      <c r="IK47" s="229">
        <f t="shared" si="59"/>
        <v>0</v>
      </c>
      <c r="IL47" s="229">
        <f t="shared" si="59"/>
        <v>0</v>
      </c>
      <c r="IM47" s="229">
        <f t="shared" si="59"/>
        <v>0</v>
      </c>
      <c r="IN47" s="229">
        <f t="shared" si="59"/>
        <v>0</v>
      </c>
      <c r="IO47" s="229">
        <f t="shared" si="59"/>
        <v>0</v>
      </c>
      <c r="IP47" s="229">
        <f t="shared" si="59"/>
        <v>0</v>
      </c>
      <c r="IQ47" s="229">
        <f t="shared" si="59"/>
        <v>0</v>
      </c>
      <c r="IR47" s="229">
        <f t="shared" si="59"/>
        <v>0</v>
      </c>
      <c r="IS47" s="229">
        <f t="shared" si="59"/>
        <v>0</v>
      </c>
      <c r="IT47" s="229">
        <f t="shared" si="59"/>
        <v>0</v>
      </c>
      <c r="IU47" s="229">
        <f t="shared" si="59"/>
        <v>0</v>
      </c>
      <c r="IV47" s="229">
        <f t="shared" si="59"/>
        <v>0</v>
      </c>
      <c r="IW47" s="229">
        <f t="shared" si="59"/>
        <v>0</v>
      </c>
      <c r="IX47" s="229">
        <f t="shared" si="59"/>
        <v>0</v>
      </c>
      <c r="IY47" s="229">
        <f t="shared" si="59"/>
        <v>0</v>
      </c>
      <c r="IZ47" s="229">
        <f t="shared" si="59"/>
        <v>0</v>
      </c>
      <c r="JA47" s="229">
        <f t="shared" si="59"/>
        <v>0</v>
      </c>
      <c r="JB47" s="229">
        <f t="shared" si="59"/>
        <v>0</v>
      </c>
      <c r="JC47" s="229">
        <f t="shared" si="59"/>
        <v>0</v>
      </c>
      <c r="JD47" s="229">
        <f t="shared" si="59"/>
        <v>0</v>
      </c>
      <c r="JE47" s="229">
        <f t="shared" si="59"/>
        <v>0</v>
      </c>
      <c r="JF47" s="229">
        <f t="shared" si="59"/>
        <v>0</v>
      </c>
      <c r="JG47" s="229">
        <f t="shared" si="59"/>
        <v>0</v>
      </c>
      <c r="JH47" s="229">
        <f t="shared" si="59"/>
        <v>0</v>
      </c>
      <c r="JI47" s="229">
        <f t="shared" si="59"/>
        <v>0</v>
      </c>
      <c r="JJ47" s="229">
        <f t="shared" si="59"/>
        <v>0</v>
      </c>
      <c r="JK47" s="229">
        <f t="shared" si="59"/>
        <v>0</v>
      </c>
      <c r="JL47" s="229">
        <f t="shared" si="59"/>
        <v>0</v>
      </c>
      <c r="JM47" s="229">
        <f t="shared" si="59"/>
        <v>0</v>
      </c>
      <c r="JN47" s="229">
        <f t="shared" si="59"/>
        <v>0</v>
      </c>
      <c r="JO47" s="229">
        <f t="shared" si="59"/>
        <v>0</v>
      </c>
      <c r="JP47" s="229">
        <f t="shared" si="59"/>
        <v>0</v>
      </c>
      <c r="JQ47" s="229">
        <f t="shared" si="59"/>
        <v>0</v>
      </c>
      <c r="JR47" s="229">
        <f t="shared" si="59"/>
        <v>0</v>
      </c>
      <c r="JS47" s="229">
        <f t="shared" si="59"/>
        <v>0</v>
      </c>
      <c r="JT47" s="229">
        <f t="shared" si="59"/>
        <v>0</v>
      </c>
      <c r="JU47" s="229">
        <f t="shared" si="59"/>
        <v>0</v>
      </c>
      <c r="JV47" s="229">
        <f t="shared" si="59"/>
        <v>0</v>
      </c>
      <c r="JW47" s="229">
        <f t="shared" si="59"/>
        <v>0</v>
      </c>
      <c r="JX47" s="229">
        <f t="shared" si="59"/>
        <v>0</v>
      </c>
      <c r="JY47" s="229">
        <f t="shared" si="59"/>
        <v>0</v>
      </c>
      <c r="JZ47" s="229">
        <f t="shared" si="59"/>
        <v>0</v>
      </c>
      <c r="KA47" s="229">
        <f t="shared" si="59"/>
        <v>0</v>
      </c>
      <c r="KB47" s="229">
        <f t="shared" si="59"/>
        <v>0</v>
      </c>
      <c r="KC47" s="229">
        <f t="shared" si="59"/>
        <v>0</v>
      </c>
      <c r="KD47" s="229">
        <f t="shared" si="59"/>
        <v>0</v>
      </c>
      <c r="KE47" s="229">
        <f t="shared" si="59"/>
        <v>0</v>
      </c>
      <c r="KF47" s="229">
        <f t="shared" si="59"/>
        <v>0</v>
      </c>
      <c r="KG47" s="229">
        <f t="shared" si="59"/>
        <v>0</v>
      </c>
      <c r="KH47" s="229">
        <f t="shared" si="59"/>
        <v>0</v>
      </c>
      <c r="KI47" s="229">
        <f t="shared" si="59"/>
        <v>0</v>
      </c>
      <c r="KJ47" s="229">
        <f t="shared" si="59"/>
        <v>0</v>
      </c>
      <c r="KK47" s="229">
        <f t="shared" si="59"/>
        <v>0</v>
      </c>
      <c r="KL47" s="229">
        <f t="shared" si="59"/>
        <v>0</v>
      </c>
      <c r="KM47" s="229">
        <f t="shared" ref="KM47:MX47" si="60">+KM31+KM34+KM36+KM41+KM43+KM44</f>
        <v>0</v>
      </c>
      <c r="KN47" s="229">
        <f t="shared" si="60"/>
        <v>0</v>
      </c>
      <c r="KO47" s="229">
        <f t="shared" si="60"/>
        <v>0</v>
      </c>
      <c r="KP47" s="229">
        <f t="shared" si="60"/>
        <v>0</v>
      </c>
      <c r="KQ47" s="229">
        <f t="shared" si="60"/>
        <v>0</v>
      </c>
      <c r="KR47" s="229">
        <f t="shared" si="60"/>
        <v>0</v>
      </c>
      <c r="KS47" s="229">
        <f t="shared" si="60"/>
        <v>0</v>
      </c>
      <c r="KT47" s="229">
        <f t="shared" si="60"/>
        <v>0</v>
      </c>
      <c r="KU47" s="229">
        <f t="shared" si="60"/>
        <v>0</v>
      </c>
      <c r="KV47" s="229">
        <f t="shared" si="60"/>
        <v>0</v>
      </c>
      <c r="KW47" s="229">
        <f t="shared" si="60"/>
        <v>0</v>
      </c>
      <c r="KX47" s="229">
        <f t="shared" si="60"/>
        <v>0</v>
      </c>
      <c r="KY47" s="229">
        <f t="shared" si="60"/>
        <v>0</v>
      </c>
      <c r="KZ47" s="229">
        <f t="shared" si="60"/>
        <v>0</v>
      </c>
      <c r="LA47" s="229">
        <f t="shared" si="60"/>
        <v>0</v>
      </c>
      <c r="LB47" s="229">
        <f t="shared" si="60"/>
        <v>0</v>
      </c>
      <c r="LC47" s="229">
        <f t="shared" si="60"/>
        <v>0</v>
      </c>
      <c r="LD47" s="229">
        <f t="shared" si="60"/>
        <v>0</v>
      </c>
      <c r="LE47" s="229">
        <f t="shared" si="60"/>
        <v>0</v>
      </c>
      <c r="LF47" s="229">
        <f t="shared" si="60"/>
        <v>0</v>
      </c>
      <c r="LG47" s="229">
        <f t="shared" si="60"/>
        <v>49565206</v>
      </c>
      <c r="LH47" s="229">
        <f t="shared" si="60"/>
        <v>49565206</v>
      </c>
      <c r="LI47" s="229">
        <f t="shared" si="60"/>
        <v>0</v>
      </c>
      <c r="LJ47" s="229">
        <f t="shared" si="60"/>
        <v>0</v>
      </c>
      <c r="LK47" s="229">
        <f t="shared" si="60"/>
        <v>0</v>
      </c>
      <c r="LL47" s="229">
        <f t="shared" si="60"/>
        <v>0</v>
      </c>
      <c r="LM47" s="229">
        <f t="shared" si="60"/>
        <v>0</v>
      </c>
      <c r="LN47" s="229">
        <f t="shared" si="60"/>
        <v>0</v>
      </c>
      <c r="LO47" s="229">
        <f t="shared" si="60"/>
        <v>0</v>
      </c>
      <c r="LP47" s="229">
        <f t="shared" si="60"/>
        <v>0</v>
      </c>
      <c r="LQ47" s="229">
        <f t="shared" si="60"/>
        <v>0</v>
      </c>
      <c r="LR47" s="229">
        <f t="shared" si="60"/>
        <v>0</v>
      </c>
      <c r="LS47" s="229">
        <f t="shared" si="60"/>
        <v>0</v>
      </c>
      <c r="LT47" s="229">
        <f t="shared" si="60"/>
        <v>0</v>
      </c>
      <c r="LU47" s="229">
        <f t="shared" si="60"/>
        <v>0</v>
      </c>
      <c r="LV47" s="229">
        <f t="shared" si="60"/>
        <v>0</v>
      </c>
      <c r="LW47" s="229">
        <f t="shared" si="60"/>
        <v>0</v>
      </c>
      <c r="LX47" s="229">
        <f t="shared" si="60"/>
        <v>0</v>
      </c>
      <c r="LY47" s="229">
        <f t="shared" si="60"/>
        <v>0</v>
      </c>
      <c r="LZ47" s="229">
        <f t="shared" si="60"/>
        <v>0</v>
      </c>
      <c r="MA47" s="229">
        <f t="shared" si="60"/>
        <v>0</v>
      </c>
      <c r="MB47" s="229">
        <f t="shared" si="60"/>
        <v>0</v>
      </c>
      <c r="MC47" s="229">
        <f t="shared" si="60"/>
        <v>0</v>
      </c>
      <c r="MD47" s="229">
        <f t="shared" si="60"/>
        <v>0</v>
      </c>
      <c r="ME47" s="229">
        <f t="shared" si="60"/>
        <v>4690003</v>
      </c>
      <c r="MF47" s="229">
        <f t="shared" si="60"/>
        <v>4690003</v>
      </c>
      <c r="MG47" s="229">
        <f t="shared" si="60"/>
        <v>0</v>
      </c>
      <c r="MH47" s="229">
        <f t="shared" si="60"/>
        <v>0</v>
      </c>
      <c r="MI47" s="229">
        <f t="shared" si="60"/>
        <v>0</v>
      </c>
      <c r="MJ47" s="229">
        <f t="shared" si="60"/>
        <v>0</v>
      </c>
      <c r="MK47" s="229">
        <f t="shared" si="60"/>
        <v>0</v>
      </c>
      <c r="ML47" s="229">
        <f t="shared" si="60"/>
        <v>0</v>
      </c>
      <c r="MM47" s="229">
        <f t="shared" si="60"/>
        <v>0</v>
      </c>
      <c r="MN47" s="229">
        <f t="shared" si="60"/>
        <v>0</v>
      </c>
      <c r="MO47" s="229">
        <f t="shared" si="60"/>
        <v>0</v>
      </c>
      <c r="MP47" s="229">
        <f t="shared" si="60"/>
        <v>0</v>
      </c>
      <c r="MQ47" s="229">
        <f t="shared" si="60"/>
        <v>0</v>
      </c>
      <c r="MR47" s="229">
        <f t="shared" si="60"/>
        <v>0</v>
      </c>
      <c r="MS47" s="229">
        <f t="shared" si="60"/>
        <v>0</v>
      </c>
      <c r="MT47" s="229">
        <f t="shared" si="60"/>
        <v>0</v>
      </c>
      <c r="MU47" s="229">
        <f t="shared" si="60"/>
        <v>0</v>
      </c>
      <c r="MV47" s="229">
        <f t="shared" si="60"/>
        <v>0</v>
      </c>
      <c r="MW47" s="229">
        <f t="shared" si="60"/>
        <v>0</v>
      </c>
      <c r="MX47" s="229">
        <f t="shared" si="60"/>
        <v>0</v>
      </c>
      <c r="MY47" s="663">
        <f t="shared" si="0"/>
        <v>1423521430</v>
      </c>
      <c r="MZ47" s="663">
        <f t="shared" si="1"/>
        <v>1423521430</v>
      </c>
      <c r="NA47" s="663">
        <f t="shared" si="2"/>
        <v>744353347</v>
      </c>
      <c r="NB47" s="663">
        <f t="shared" si="3"/>
        <v>744353347</v>
      </c>
      <c r="NC47" s="663"/>
    </row>
    <row r="48" spans="1:367" s="215" customFormat="1" ht="21.75" customHeight="1" x14ac:dyDescent="0.25">
      <c r="A48" s="208" t="s">
        <v>284</v>
      </c>
      <c r="B48" s="224" t="s">
        <v>329</v>
      </c>
      <c r="C48" s="210"/>
      <c r="D48" s="242">
        <f>+D46+D47</f>
        <v>0</v>
      </c>
      <c r="E48" s="242">
        <f t="shared" ref="E48:CV48" si="61">+E46+E47</f>
        <v>0</v>
      </c>
      <c r="F48" s="242">
        <f t="shared" si="61"/>
        <v>0</v>
      </c>
      <c r="G48" s="242">
        <f t="shared" si="61"/>
        <v>0</v>
      </c>
      <c r="H48" s="242">
        <f t="shared" si="61"/>
        <v>0</v>
      </c>
      <c r="I48" s="242">
        <f t="shared" si="61"/>
        <v>0</v>
      </c>
      <c r="J48" s="242">
        <f t="shared" si="61"/>
        <v>0</v>
      </c>
      <c r="K48" s="242">
        <f t="shared" si="61"/>
        <v>0</v>
      </c>
      <c r="L48" s="242">
        <f t="shared" si="61"/>
        <v>0</v>
      </c>
      <c r="M48" s="242">
        <f t="shared" si="61"/>
        <v>0</v>
      </c>
      <c r="N48" s="242">
        <f t="shared" si="61"/>
        <v>0</v>
      </c>
      <c r="O48" s="242">
        <f t="shared" si="61"/>
        <v>0</v>
      </c>
      <c r="P48" s="242">
        <f t="shared" si="61"/>
        <v>0</v>
      </c>
      <c r="Q48" s="242">
        <f t="shared" si="61"/>
        <v>0</v>
      </c>
      <c r="R48" s="242">
        <f t="shared" si="61"/>
        <v>0</v>
      </c>
      <c r="S48" s="242">
        <f t="shared" si="61"/>
        <v>0</v>
      </c>
      <c r="T48" s="242">
        <f t="shared" si="61"/>
        <v>0</v>
      </c>
      <c r="U48" s="242">
        <f t="shared" si="61"/>
        <v>0</v>
      </c>
      <c r="V48" s="242">
        <f t="shared" si="61"/>
        <v>0</v>
      </c>
      <c r="W48" s="242">
        <f t="shared" si="61"/>
        <v>0</v>
      </c>
      <c r="X48" s="242">
        <f t="shared" si="61"/>
        <v>0</v>
      </c>
      <c r="Y48" s="242">
        <f t="shared" si="61"/>
        <v>0</v>
      </c>
      <c r="Z48" s="242">
        <f t="shared" si="61"/>
        <v>0</v>
      </c>
      <c r="AA48" s="242">
        <f t="shared" si="61"/>
        <v>0</v>
      </c>
      <c r="AB48" s="242">
        <f t="shared" si="61"/>
        <v>0</v>
      </c>
      <c r="AC48" s="242">
        <f t="shared" si="61"/>
        <v>0</v>
      </c>
      <c r="AD48" s="242">
        <f t="shared" si="61"/>
        <v>0</v>
      </c>
      <c r="AE48" s="242">
        <f t="shared" si="61"/>
        <v>10000000</v>
      </c>
      <c r="AF48" s="242">
        <f t="shared" si="61"/>
        <v>27091495</v>
      </c>
      <c r="AG48" s="242">
        <f t="shared" si="61"/>
        <v>26808900</v>
      </c>
      <c r="AH48" s="242">
        <f t="shared" si="61"/>
        <v>1498800</v>
      </c>
      <c r="AI48" s="242">
        <f t="shared" si="61"/>
        <v>2489550</v>
      </c>
      <c r="AJ48" s="242">
        <f t="shared" si="61"/>
        <v>2489550</v>
      </c>
      <c r="AK48" s="242">
        <f t="shared" si="61"/>
        <v>898597574</v>
      </c>
      <c r="AL48" s="242">
        <f t="shared" si="61"/>
        <v>929447116</v>
      </c>
      <c r="AM48" s="242">
        <f t="shared" si="61"/>
        <v>929447116</v>
      </c>
      <c r="AN48" s="242">
        <f t="shared" si="61"/>
        <v>3493957077</v>
      </c>
      <c r="AO48" s="242">
        <f t="shared" si="61"/>
        <v>3768288260</v>
      </c>
      <c r="AP48" s="242">
        <f t="shared" si="61"/>
        <v>3768288260</v>
      </c>
      <c r="AQ48" s="242">
        <f t="shared" si="61"/>
        <v>0</v>
      </c>
      <c r="AR48" s="242">
        <f t="shared" si="61"/>
        <v>0</v>
      </c>
      <c r="AS48" s="242">
        <f t="shared" si="61"/>
        <v>0</v>
      </c>
      <c r="AT48" s="242">
        <f t="shared" si="61"/>
        <v>0</v>
      </c>
      <c r="AU48" s="242">
        <f t="shared" si="61"/>
        <v>0</v>
      </c>
      <c r="AV48" s="242">
        <f t="shared" si="61"/>
        <v>0</v>
      </c>
      <c r="AW48" s="242">
        <f t="shared" si="61"/>
        <v>0</v>
      </c>
      <c r="AX48" s="242">
        <f t="shared" si="61"/>
        <v>0</v>
      </c>
      <c r="AY48" s="242">
        <f t="shared" si="61"/>
        <v>0</v>
      </c>
      <c r="AZ48" s="242">
        <f t="shared" si="61"/>
        <v>0</v>
      </c>
      <c r="BA48" s="242">
        <f t="shared" si="61"/>
        <v>0</v>
      </c>
      <c r="BB48" s="242">
        <f t="shared" si="61"/>
        <v>0</v>
      </c>
      <c r="BC48" s="242">
        <f t="shared" si="61"/>
        <v>0</v>
      </c>
      <c r="BD48" s="242">
        <f t="shared" si="61"/>
        <v>0</v>
      </c>
      <c r="BE48" s="242">
        <f t="shared" si="61"/>
        <v>0</v>
      </c>
      <c r="BF48" s="242">
        <f t="shared" si="61"/>
        <v>0</v>
      </c>
      <c r="BG48" s="242">
        <f t="shared" si="61"/>
        <v>0</v>
      </c>
      <c r="BH48" s="242">
        <f t="shared" si="61"/>
        <v>0</v>
      </c>
      <c r="BI48" s="242">
        <f t="shared" si="61"/>
        <v>0</v>
      </c>
      <c r="BJ48" s="242">
        <f t="shared" si="61"/>
        <v>0</v>
      </c>
      <c r="BK48" s="242">
        <f t="shared" si="61"/>
        <v>0</v>
      </c>
      <c r="BL48" s="242">
        <f t="shared" si="61"/>
        <v>0</v>
      </c>
      <c r="BM48" s="242">
        <f t="shared" si="61"/>
        <v>0</v>
      </c>
      <c r="BN48" s="242">
        <f t="shared" si="61"/>
        <v>0</v>
      </c>
      <c r="BO48" s="242">
        <f t="shared" si="61"/>
        <v>0</v>
      </c>
      <c r="BP48" s="242">
        <f t="shared" si="61"/>
        <v>0</v>
      </c>
      <c r="BQ48" s="242">
        <f t="shared" si="61"/>
        <v>0</v>
      </c>
      <c r="BR48" s="242">
        <f t="shared" si="61"/>
        <v>0</v>
      </c>
      <c r="BS48" s="242">
        <f t="shared" si="61"/>
        <v>0</v>
      </c>
      <c r="BT48" s="242">
        <f t="shared" si="61"/>
        <v>0</v>
      </c>
      <c r="BU48" s="242">
        <f t="shared" si="61"/>
        <v>0</v>
      </c>
      <c r="BV48" s="242">
        <f t="shared" si="61"/>
        <v>0</v>
      </c>
      <c r="BW48" s="242">
        <f t="shared" si="61"/>
        <v>0</v>
      </c>
      <c r="BX48" s="242">
        <f t="shared" si="61"/>
        <v>0</v>
      </c>
      <c r="BY48" s="242">
        <f t="shared" si="61"/>
        <v>0</v>
      </c>
      <c r="BZ48" s="242">
        <f t="shared" si="61"/>
        <v>0</v>
      </c>
      <c r="CA48" s="242">
        <f t="shared" si="61"/>
        <v>0</v>
      </c>
      <c r="CB48" s="242">
        <f t="shared" si="61"/>
        <v>0</v>
      </c>
      <c r="CC48" s="242">
        <f t="shared" si="61"/>
        <v>0</v>
      </c>
      <c r="CD48" s="242">
        <f t="shared" si="61"/>
        <v>0</v>
      </c>
      <c r="CE48" s="242">
        <f t="shared" si="61"/>
        <v>0</v>
      </c>
      <c r="CF48" s="242">
        <f t="shared" si="61"/>
        <v>0</v>
      </c>
      <c r="CG48" s="242">
        <f t="shared" si="61"/>
        <v>0</v>
      </c>
      <c r="CH48" s="242">
        <f t="shared" si="61"/>
        <v>0</v>
      </c>
      <c r="CI48" s="242">
        <f t="shared" si="61"/>
        <v>0</v>
      </c>
      <c r="CJ48" s="242">
        <f t="shared" si="61"/>
        <v>0</v>
      </c>
      <c r="CK48" s="242">
        <f t="shared" si="61"/>
        <v>0</v>
      </c>
      <c r="CL48" s="242">
        <f t="shared" si="61"/>
        <v>0</v>
      </c>
      <c r="CM48" s="242">
        <f t="shared" si="61"/>
        <v>0</v>
      </c>
      <c r="CN48" s="242">
        <f t="shared" si="61"/>
        <v>0</v>
      </c>
      <c r="CO48" s="242">
        <f t="shared" si="61"/>
        <v>0</v>
      </c>
      <c r="CP48" s="242">
        <f t="shared" si="61"/>
        <v>0</v>
      </c>
      <c r="CQ48" s="242">
        <f t="shared" si="61"/>
        <v>0</v>
      </c>
      <c r="CR48" s="242">
        <f t="shared" si="61"/>
        <v>0</v>
      </c>
      <c r="CS48" s="242">
        <f t="shared" si="61"/>
        <v>0</v>
      </c>
      <c r="CT48" s="242">
        <f t="shared" si="61"/>
        <v>1064000</v>
      </c>
      <c r="CU48" s="242">
        <f t="shared" si="61"/>
        <v>1064000</v>
      </c>
      <c r="CV48" s="242">
        <f t="shared" si="61"/>
        <v>0</v>
      </c>
      <c r="CW48" s="242">
        <f t="shared" ref="CW48:FH48" si="62">+CW46+CW47</f>
        <v>0</v>
      </c>
      <c r="CX48" s="242">
        <f t="shared" si="62"/>
        <v>0</v>
      </c>
      <c r="CY48" s="242">
        <f t="shared" si="62"/>
        <v>0</v>
      </c>
      <c r="CZ48" s="242">
        <f t="shared" si="62"/>
        <v>0</v>
      </c>
      <c r="DA48" s="242">
        <f t="shared" si="62"/>
        <v>0</v>
      </c>
      <c r="DB48" s="242">
        <f t="shared" si="62"/>
        <v>0</v>
      </c>
      <c r="DC48" s="242">
        <f t="shared" si="62"/>
        <v>0</v>
      </c>
      <c r="DD48" s="242">
        <f t="shared" si="62"/>
        <v>0</v>
      </c>
      <c r="DE48" s="242">
        <f t="shared" si="62"/>
        <v>0</v>
      </c>
      <c r="DF48" s="242">
        <f t="shared" si="62"/>
        <v>0</v>
      </c>
      <c r="DG48" s="242">
        <f t="shared" si="62"/>
        <v>0</v>
      </c>
      <c r="DH48" s="242">
        <f t="shared" si="62"/>
        <v>31800000</v>
      </c>
      <c r="DI48" s="242">
        <f t="shared" si="62"/>
        <v>47442750</v>
      </c>
      <c r="DJ48" s="242">
        <f t="shared" si="62"/>
        <v>47442750</v>
      </c>
      <c r="DK48" s="242">
        <f t="shared" si="62"/>
        <v>751000</v>
      </c>
      <c r="DL48" s="242">
        <f t="shared" si="62"/>
        <v>3924118</v>
      </c>
      <c r="DM48" s="242">
        <f t="shared" si="62"/>
        <v>3601224</v>
      </c>
      <c r="DN48" s="242">
        <f t="shared" si="62"/>
        <v>0</v>
      </c>
      <c r="DO48" s="242">
        <f t="shared" si="62"/>
        <v>0</v>
      </c>
      <c r="DP48" s="242">
        <f t="shared" si="62"/>
        <v>0</v>
      </c>
      <c r="DQ48" s="242">
        <f t="shared" si="62"/>
        <v>0</v>
      </c>
      <c r="DR48" s="242">
        <f t="shared" si="62"/>
        <v>0</v>
      </c>
      <c r="DS48" s="242">
        <f t="shared" si="62"/>
        <v>0</v>
      </c>
      <c r="DT48" s="242">
        <f t="shared" si="62"/>
        <v>0</v>
      </c>
      <c r="DU48" s="242">
        <f t="shared" si="62"/>
        <v>0</v>
      </c>
      <c r="DV48" s="242">
        <f t="shared" si="62"/>
        <v>0</v>
      </c>
      <c r="DW48" s="242">
        <f t="shared" si="62"/>
        <v>0</v>
      </c>
      <c r="DX48" s="242">
        <f t="shared" si="62"/>
        <v>0</v>
      </c>
      <c r="DY48" s="242">
        <f t="shared" si="62"/>
        <v>0</v>
      </c>
      <c r="DZ48" s="242">
        <f t="shared" si="62"/>
        <v>0</v>
      </c>
      <c r="EA48" s="242">
        <f t="shared" si="62"/>
        <v>0</v>
      </c>
      <c r="EB48" s="242">
        <f t="shared" si="62"/>
        <v>0</v>
      </c>
      <c r="EC48" s="242">
        <f t="shared" si="62"/>
        <v>0</v>
      </c>
      <c r="ED48" s="242">
        <f t="shared" si="62"/>
        <v>0</v>
      </c>
      <c r="EE48" s="242">
        <f t="shared" si="62"/>
        <v>0</v>
      </c>
      <c r="EF48" s="242">
        <f t="shared" si="62"/>
        <v>0</v>
      </c>
      <c r="EG48" s="242">
        <f t="shared" si="62"/>
        <v>0</v>
      </c>
      <c r="EH48" s="242">
        <f t="shared" si="62"/>
        <v>0</v>
      </c>
      <c r="EI48" s="242">
        <f t="shared" si="62"/>
        <v>13039031</v>
      </c>
      <c r="EJ48" s="242">
        <f t="shared" si="62"/>
        <v>19581035</v>
      </c>
      <c r="EK48" s="242">
        <f t="shared" si="62"/>
        <v>11809435</v>
      </c>
      <c r="EL48" s="242">
        <f t="shared" si="62"/>
        <v>677580</v>
      </c>
      <c r="EM48" s="242">
        <f t="shared" si="62"/>
        <v>2531836</v>
      </c>
      <c r="EN48" s="242">
        <f t="shared" si="62"/>
        <v>692780</v>
      </c>
      <c r="EO48" s="242">
        <f t="shared" si="62"/>
        <v>5280000</v>
      </c>
      <c r="EP48" s="242">
        <f t="shared" si="62"/>
        <v>6092196</v>
      </c>
      <c r="EQ48" s="242">
        <f t="shared" si="62"/>
        <v>6092196</v>
      </c>
      <c r="ER48" s="242">
        <f t="shared" si="62"/>
        <v>43180000</v>
      </c>
      <c r="ES48" s="242">
        <f t="shared" si="62"/>
        <v>48550938</v>
      </c>
      <c r="ET48" s="242">
        <f t="shared" si="62"/>
        <v>48540438</v>
      </c>
      <c r="EU48" s="242">
        <f t="shared" si="62"/>
        <v>0</v>
      </c>
      <c r="EV48" s="242">
        <f t="shared" si="62"/>
        <v>0</v>
      </c>
      <c r="EW48" s="242">
        <f t="shared" si="62"/>
        <v>0</v>
      </c>
      <c r="EX48" s="242">
        <f t="shared" si="62"/>
        <v>7000000</v>
      </c>
      <c r="EY48" s="242">
        <f t="shared" si="62"/>
        <v>8510523</v>
      </c>
      <c r="EZ48" s="242">
        <f t="shared" si="62"/>
        <v>8178543</v>
      </c>
      <c r="FA48" s="242">
        <f t="shared" si="62"/>
        <v>0</v>
      </c>
      <c r="FB48" s="242">
        <f t="shared" si="62"/>
        <v>415500</v>
      </c>
      <c r="FC48" s="242">
        <f t="shared" si="62"/>
        <v>415500</v>
      </c>
      <c r="FD48" s="242">
        <f t="shared" si="62"/>
        <v>0</v>
      </c>
      <c r="FE48" s="242">
        <f t="shared" si="62"/>
        <v>0</v>
      </c>
      <c r="FF48" s="242">
        <f t="shared" si="62"/>
        <v>0</v>
      </c>
      <c r="FG48" s="242">
        <f t="shared" si="62"/>
        <v>10000000</v>
      </c>
      <c r="FH48" s="242">
        <f t="shared" si="62"/>
        <v>18016000</v>
      </c>
      <c r="FI48" s="242">
        <f t="shared" ref="FI48:HZ48" si="63">+FI46+FI47</f>
        <v>16091500</v>
      </c>
      <c r="FJ48" s="242">
        <f t="shared" si="63"/>
        <v>0</v>
      </c>
      <c r="FK48" s="242">
        <f t="shared" si="63"/>
        <v>0</v>
      </c>
      <c r="FL48" s="242">
        <f t="shared" si="63"/>
        <v>0</v>
      </c>
      <c r="FM48" s="242">
        <f t="shared" si="63"/>
        <v>0</v>
      </c>
      <c r="FN48" s="242">
        <f t="shared" si="63"/>
        <v>0</v>
      </c>
      <c r="FO48" s="242">
        <f t="shared" si="63"/>
        <v>0</v>
      </c>
      <c r="FP48" s="242">
        <f t="shared" si="63"/>
        <v>0</v>
      </c>
      <c r="FQ48" s="242">
        <f t="shared" si="63"/>
        <v>0</v>
      </c>
      <c r="FR48" s="242">
        <f t="shared" si="63"/>
        <v>0</v>
      </c>
      <c r="FS48" s="242">
        <f t="shared" si="63"/>
        <v>0</v>
      </c>
      <c r="FT48" s="242">
        <f t="shared" si="63"/>
        <v>0</v>
      </c>
      <c r="FU48" s="242">
        <f t="shared" si="63"/>
        <v>0</v>
      </c>
      <c r="FV48" s="242">
        <f t="shared" si="63"/>
        <v>0</v>
      </c>
      <c r="FW48" s="242">
        <f t="shared" si="63"/>
        <v>0</v>
      </c>
      <c r="FX48" s="242">
        <f t="shared" si="63"/>
        <v>0</v>
      </c>
      <c r="FY48" s="242">
        <f t="shared" si="63"/>
        <v>0</v>
      </c>
      <c r="FZ48" s="242">
        <f t="shared" si="63"/>
        <v>0</v>
      </c>
      <c r="GA48" s="242">
        <f t="shared" si="63"/>
        <v>0</v>
      </c>
      <c r="GB48" s="242">
        <f t="shared" si="63"/>
        <v>0</v>
      </c>
      <c r="GC48" s="242">
        <f t="shared" si="63"/>
        <v>0</v>
      </c>
      <c r="GD48" s="242">
        <f t="shared" si="63"/>
        <v>0</v>
      </c>
      <c r="GE48" s="242">
        <f t="shared" si="63"/>
        <v>0</v>
      </c>
      <c r="GF48" s="242">
        <f t="shared" si="63"/>
        <v>16945640</v>
      </c>
      <c r="GG48" s="242">
        <f t="shared" si="63"/>
        <v>16945640</v>
      </c>
      <c r="GH48" s="242">
        <f t="shared" si="63"/>
        <v>65000000</v>
      </c>
      <c r="GI48" s="242">
        <f t="shared" si="63"/>
        <v>0</v>
      </c>
      <c r="GJ48" s="242">
        <f t="shared" si="63"/>
        <v>0</v>
      </c>
      <c r="GK48" s="242">
        <f>+GK46+GK47</f>
        <v>0</v>
      </c>
      <c r="GL48" s="242">
        <f>+GL46+GL47</f>
        <v>0</v>
      </c>
      <c r="GM48" s="242">
        <f>+GM46+GM47</f>
        <v>0</v>
      </c>
      <c r="GN48" s="242">
        <f t="shared" si="63"/>
        <v>0</v>
      </c>
      <c r="GO48" s="242">
        <f t="shared" si="63"/>
        <v>64823814</v>
      </c>
      <c r="GP48" s="242">
        <f t="shared" si="63"/>
        <v>64823814</v>
      </c>
      <c r="GQ48" s="242">
        <f t="shared" si="63"/>
        <v>65000000</v>
      </c>
      <c r="GR48" s="242">
        <f t="shared" si="63"/>
        <v>0</v>
      </c>
      <c r="GS48" s="242">
        <f t="shared" si="63"/>
        <v>0</v>
      </c>
      <c r="GT48" s="242">
        <f>+GT46+GT47</f>
        <v>0</v>
      </c>
      <c r="GU48" s="242">
        <f>+GU46+GU47</f>
        <v>0</v>
      </c>
      <c r="GV48" s="242">
        <f>+GV46+GV47</f>
        <v>0</v>
      </c>
      <c r="GW48" s="242">
        <f t="shared" si="63"/>
        <v>0</v>
      </c>
      <c r="GX48" s="242">
        <f t="shared" si="63"/>
        <v>0</v>
      </c>
      <c r="GY48" s="242">
        <f t="shared" si="63"/>
        <v>0</v>
      </c>
      <c r="GZ48" s="242">
        <f t="shared" si="63"/>
        <v>0</v>
      </c>
      <c r="HA48" s="242">
        <f t="shared" si="63"/>
        <v>0</v>
      </c>
      <c r="HB48" s="242">
        <f t="shared" si="63"/>
        <v>0</v>
      </c>
      <c r="HC48" s="242">
        <f t="shared" si="63"/>
        <v>0</v>
      </c>
      <c r="HD48" s="242">
        <f t="shared" si="63"/>
        <v>0</v>
      </c>
      <c r="HE48" s="242">
        <f t="shared" si="63"/>
        <v>0</v>
      </c>
      <c r="HF48" s="242">
        <f t="shared" si="63"/>
        <v>0</v>
      </c>
      <c r="HG48" s="242">
        <f t="shared" si="63"/>
        <v>0</v>
      </c>
      <c r="HH48" s="242">
        <f t="shared" si="63"/>
        <v>0</v>
      </c>
      <c r="HI48" s="242">
        <f t="shared" si="63"/>
        <v>0</v>
      </c>
      <c r="HJ48" s="242">
        <f t="shared" si="63"/>
        <v>0</v>
      </c>
      <c r="HK48" s="242">
        <f t="shared" si="63"/>
        <v>0</v>
      </c>
      <c r="HL48" s="242">
        <f t="shared" si="63"/>
        <v>0</v>
      </c>
      <c r="HM48" s="242">
        <f t="shared" si="63"/>
        <v>0</v>
      </c>
      <c r="HN48" s="242">
        <f t="shared" si="63"/>
        <v>0</v>
      </c>
      <c r="HO48" s="242">
        <f t="shared" si="63"/>
        <v>0</v>
      </c>
      <c r="HP48" s="242">
        <f t="shared" si="63"/>
        <v>0</v>
      </c>
      <c r="HQ48" s="242">
        <f t="shared" si="63"/>
        <v>0</v>
      </c>
      <c r="HR48" s="242">
        <f t="shared" si="63"/>
        <v>0</v>
      </c>
      <c r="HS48" s="242">
        <f t="shared" si="63"/>
        <v>0</v>
      </c>
      <c r="HT48" s="242">
        <f t="shared" si="63"/>
        <v>0</v>
      </c>
      <c r="HU48" s="242">
        <f t="shared" si="63"/>
        <v>0</v>
      </c>
      <c r="HV48" s="242">
        <f t="shared" si="63"/>
        <v>0</v>
      </c>
      <c r="HW48" s="242">
        <f t="shared" si="63"/>
        <v>0</v>
      </c>
      <c r="HX48" s="242">
        <f t="shared" si="63"/>
        <v>0</v>
      </c>
      <c r="HY48" s="242">
        <f t="shared" si="63"/>
        <v>0</v>
      </c>
      <c r="HZ48" s="242">
        <f t="shared" si="63"/>
        <v>0</v>
      </c>
      <c r="IA48" s="242">
        <f t="shared" ref="IA48:KL48" si="64">+IA46+IA47</f>
        <v>0</v>
      </c>
      <c r="IB48" s="242">
        <f t="shared" si="64"/>
        <v>0</v>
      </c>
      <c r="IC48" s="242">
        <f t="shared" si="64"/>
        <v>0</v>
      </c>
      <c r="ID48" s="242">
        <f t="shared" si="64"/>
        <v>0</v>
      </c>
      <c r="IE48" s="242">
        <f t="shared" si="64"/>
        <v>0</v>
      </c>
      <c r="IF48" s="242">
        <f t="shared" si="64"/>
        <v>0</v>
      </c>
      <c r="IG48" s="242">
        <f t="shared" si="64"/>
        <v>0</v>
      </c>
      <c r="IH48" s="242">
        <f t="shared" si="64"/>
        <v>0</v>
      </c>
      <c r="II48" s="242">
        <f t="shared" si="64"/>
        <v>0</v>
      </c>
      <c r="IJ48" s="242">
        <f t="shared" si="64"/>
        <v>0</v>
      </c>
      <c r="IK48" s="242">
        <f t="shared" si="64"/>
        <v>0</v>
      </c>
      <c r="IL48" s="242">
        <f t="shared" si="64"/>
        <v>0</v>
      </c>
      <c r="IM48" s="242">
        <f t="shared" si="64"/>
        <v>0</v>
      </c>
      <c r="IN48" s="242">
        <f t="shared" si="64"/>
        <v>0</v>
      </c>
      <c r="IO48" s="242">
        <f t="shared" si="64"/>
        <v>0</v>
      </c>
      <c r="IP48" s="242">
        <f t="shared" si="64"/>
        <v>0</v>
      </c>
      <c r="IQ48" s="242">
        <f t="shared" si="64"/>
        <v>0</v>
      </c>
      <c r="IR48" s="242">
        <f t="shared" si="64"/>
        <v>0</v>
      </c>
      <c r="IS48" s="242">
        <f t="shared" si="64"/>
        <v>0</v>
      </c>
      <c r="IT48" s="242">
        <f t="shared" si="64"/>
        <v>0</v>
      </c>
      <c r="IU48" s="242">
        <f t="shared" si="64"/>
        <v>0</v>
      </c>
      <c r="IV48" s="242">
        <f t="shared" si="64"/>
        <v>0</v>
      </c>
      <c r="IW48" s="242">
        <f t="shared" si="64"/>
        <v>0</v>
      </c>
      <c r="IX48" s="242">
        <f t="shared" si="64"/>
        <v>0</v>
      </c>
      <c r="IY48" s="242">
        <f t="shared" si="64"/>
        <v>0</v>
      </c>
      <c r="IZ48" s="242">
        <f t="shared" si="64"/>
        <v>0</v>
      </c>
      <c r="JA48" s="242">
        <f t="shared" si="64"/>
        <v>0</v>
      </c>
      <c r="JB48" s="242">
        <f t="shared" si="64"/>
        <v>0</v>
      </c>
      <c r="JC48" s="242">
        <f t="shared" si="64"/>
        <v>0</v>
      </c>
      <c r="JD48" s="242">
        <f t="shared" si="64"/>
        <v>0</v>
      </c>
      <c r="JE48" s="242">
        <f t="shared" si="64"/>
        <v>0</v>
      </c>
      <c r="JF48" s="242">
        <f t="shared" si="64"/>
        <v>0</v>
      </c>
      <c r="JG48" s="242">
        <f t="shared" si="64"/>
        <v>0</v>
      </c>
      <c r="JH48" s="242">
        <f t="shared" si="64"/>
        <v>8841120</v>
      </c>
      <c r="JI48" s="242">
        <f t="shared" si="64"/>
        <v>8841120</v>
      </c>
      <c r="JJ48" s="242">
        <f t="shared" si="64"/>
        <v>0</v>
      </c>
      <c r="JK48" s="242">
        <f t="shared" si="64"/>
        <v>7723234</v>
      </c>
      <c r="JL48" s="242">
        <f t="shared" si="64"/>
        <v>7723234</v>
      </c>
      <c r="JM48" s="242">
        <f t="shared" si="64"/>
        <v>0</v>
      </c>
      <c r="JN48" s="242">
        <f t="shared" si="64"/>
        <v>0</v>
      </c>
      <c r="JO48" s="242">
        <f t="shared" si="64"/>
        <v>0</v>
      </c>
      <c r="JP48" s="242">
        <f t="shared" si="64"/>
        <v>0</v>
      </c>
      <c r="JQ48" s="242">
        <f t="shared" si="64"/>
        <v>0</v>
      </c>
      <c r="JR48" s="242">
        <f t="shared" si="64"/>
        <v>0</v>
      </c>
      <c r="JS48" s="242">
        <f t="shared" si="64"/>
        <v>0</v>
      </c>
      <c r="JT48" s="242">
        <f t="shared" si="64"/>
        <v>0</v>
      </c>
      <c r="JU48" s="242">
        <f t="shared" si="64"/>
        <v>0</v>
      </c>
      <c r="JV48" s="242">
        <f t="shared" si="64"/>
        <v>0</v>
      </c>
      <c r="JW48" s="242">
        <f t="shared" si="64"/>
        <v>0</v>
      </c>
      <c r="JX48" s="242">
        <f t="shared" si="64"/>
        <v>0</v>
      </c>
      <c r="JY48" s="242">
        <f t="shared" si="64"/>
        <v>0</v>
      </c>
      <c r="JZ48" s="242">
        <f t="shared" si="64"/>
        <v>0</v>
      </c>
      <c r="KA48" s="242">
        <f t="shared" si="64"/>
        <v>0</v>
      </c>
      <c r="KB48" s="242">
        <f t="shared" si="64"/>
        <v>0</v>
      </c>
      <c r="KC48" s="242">
        <f t="shared" si="64"/>
        <v>0</v>
      </c>
      <c r="KD48" s="242">
        <f t="shared" si="64"/>
        <v>0</v>
      </c>
      <c r="KE48" s="242">
        <f t="shared" si="64"/>
        <v>0</v>
      </c>
      <c r="KF48" s="242">
        <f t="shared" si="64"/>
        <v>0</v>
      </c>
      <c r="KG48" s="242">
        <f t="shared" si="64"/>
        <v>0</v>
      </c>
      <c r="KH48" s="242">
        <f t="shared" si="64"/>
        <v>0</v>
      </c>
      <c r="KI48" s="242">
        <f t="shared" si="64"/>
        <v>0</v>
      </c>
      <c r="KJ48" s="242">
        <f t="shared" si="64"/>
        <v>0</v>
      </c>
      <c r="KK48" s="242">
        <f t="shared" si="64"/>
        <v>0</v>
      </c>
      <c r="KL48" s="242">
        <f t="shared" si="64"/>
        <v>0</v>
      </c>
      <c r="KM48" s="242">
        <f t="shared" ref="KM48:MX48" si="65">+KM46+KM47</f>
        <v>0</v>
      </c>
      <c r="KN48" s="242">
        <f t="shared" si="65"/>
        <v>0</v>
      </c>
      <c r="KO48" s="242">
        <f t="shared" si="65"/>
        <v>0</v>
      </c>
      <c r="KP48" s="242">
        <f t="shared" si="65"/>
        <v>0</v>
      </c>
      <c r="KQ48" s="242">
        <f t="shared" si="65"/>
        <v>0</v>
      </c>
      <c r="KR48" s="242">
        <f t="shared" si="65"/>
        <v>0</v>
      </c>
      <c r="KS48" s="242">
        <f t="shared" si="65"/>
        <v>0</v>
      </c>
      <c r="KT48" s="242">
        <f t="shared" si="65"/>
        <v>0</v>
      </c>
      <c r="KU48" s="242">
        <f t="shared" si="65"/>
        <v>0</v>
      </c>
      <c r="KV48" s="242">
        <f t="shared" si="65"/>
        <v>0</v>
      </c>
      <c r="KW48" s="242">
        <f t="shared" si="65"/>
        <v>0</v>
      </c>
      <c r="KX48" s="242">
        <f t="shared" si="65"/>
        <v>0</v>
      </c>
      <c r="KY48" s="242">
        <f t="shared" si="65"/>
        <v>0</v>
      </c>
      <c r="KZ48" s="242">
        <f t="shared" si="65"/>
        <v>0</v>
      </c>
      <c r="LA48" s="242">
        <f t="shared" si="65"/>
        <v>0</v>
      </c>
      <c r="LB48" s="242">
        <f t="shared" si="65"/>
        <v>0</v>
      </c>
      <c r="LC48" s="242">
        <f t="shared" si="65"/>
        <v>0</v>
      </c>
      <c r="LD48" s="242">
        <f t="shared" si="65"/>
        <v>0</v>
      </c>
      <c r="LE48" s="242">
        <f t="shared" si="65"/>
        <v>0</v>
      </c>
      <c r="LF48" s="242">
        <f t="shared" si="65"/>
        <v>0</v>
      </c>
      <c r="LG48" s="242">
        <f t="shared" si="65"/>
        <v>49565206</v>
      </c>
      <c r="LH48" s="242">
        <f t="shared" si="65"/>
        <v>49565206</v>
      </c>
      <c r="LI48" s="242">
        <f t="shared" si="65"/>
        <v>0</v>
      </c>
      <c r="LJ48" s="242">
        <f t="shared" si="65"/>
        <v>0</v>
      </c>
      <c r="LK48" s="242">
        <f t="shared" si="65"/>
        <v>0</v>
      </c>
      <c r="LL48" s="242">
        <f t="shared" si="65"/>
        <v>0</v>
      </c>
      <c r="LM48" s="242">
        <f t="shared" si="65"/>
        <v>0</v>
      </c>
      <c r="LN48" s="242">
        <f t="shared" si="65"/>
        <v>0</v>
      </c>
      <c r="LO48" s="242">
        <f t="shared" si="65"/>
        <v>0</v>
      </c>
      <c r="LP48" s="242">
        <f t="shared" si="65"/>
        <v>0</v>
      </c>
      <c r="LQ48" s="242">
        <f t="shared" si="65"/>
        <v>0</v>
      </c>
      <c r="LR48" s="242">
        <f t="shared" si="65"/>
        <v>0</v>
      </c>
      <c r="LS48" s="242">
        <f t="shared" si="65"/>
        <v>0</v>
      </c>
      <c r="LT48" s="242">
        <f t="shared" si="65"/>
        <v>0</v>
      </c>
      <c r="LU48" s="242">
        <f t="shared" si="65"/>
        <v>0</v>
      </c>
      <c r="LV48" s="242">
        <f t="shared" si="65"/>
        <v>0</v>
      </c>
      <c r="LW48" s="242">
        <f t="shared" si="65"/>
        <v>0</v>
      </c>
      <c r="LX48" s="242">
        <f t="shared" si="65"/>
        <v>0</v>
      </c>
      <c r="LY48" s="242">
        <f t="shared" si="65"/>
        <v>0</v>
      </c>
      <c r="LZ48" s="242">
        <f t="shared" si="65"/>
        <v>0</v>
      </c>
      <c r="MA48" s="242">
        <f t="shared" si="65"/>
        <v>0</v>
      </c>
      <c r="MB48" s="242">
        <f t="shared" si="65"/>
        <v>0</v>
      </c>
      <c r="MC48" s="242">
        <f t="shared" si="65"/>
        <v>0</v>
      </c>
      <c r="MD48" s="242">
        <f t="shared" si="65"/>
        <v>0</v>
      </c>
      <c r="ME48" s="242">
        <f t="shared" si="65"/>
        <v>4690003</v>
      </c>
      <c r="MF48" s="242">
        <f t="shared" si="65"/>
        <v>4690003</v>
      </c>
      <c r="MG48" s="242">
        <f t="shared" si="65"/>
        <v>0</v>
      </c>
      <c r="MH48" s="242">
        <f t="shared" si="65"/>
        <v>0</v>
      </c>
      <c r="MI48" s="242">
        <f t="shared" si="65"/>
        <v>0</v>
      </c>
      <c r="MJ48" s="242">
        <f t="shared" si="65"/>
        <v>0</v>
      </c>
      <c r="MK48" s="242">
        <f t="shared" si="65"/>
        <v>0</v>
      </c>
      <c r="ML48" s="242">
        <f t="shared" si="65"/>
        <v>0</v>
      </c>
      <c r="MM48" s="242">
        <f t="shared" si="65"/>
        <v>0</v>
      </c>
      <c r="MN48" s="242">
        <f t="shared" si="65"/>
        <v>0</v>
      </c>
      <c r="MO48" s="242">
        <f t="shared" si="65"/>
        <v>0</v>
      </c>
      <c r="MP48" s="242">
        <f t="shared" si="65"/>
        <v>0</v>
      </c>
      <c r="MQ48" s="242">
        <f t="shared" si="65"/>
        <v>0</v>
      </c>
      <c r="MR48" s="242">
        <f t="shared" si="65"/>
        <v>0</v>
      </c>
      <c r="MS48" s="242">
        <f t="shared" si="65"/>
        <v>0</v>
      </c>
      <c r="MT48" s="242">
        <f t="shared" si="65"/>
        <v>0</v>
      </c>
      <c r="MU48" s="242">
        <f t="shared" si="65"/>
        <v>0</v>
      </c>
      <c r="MV48" s="242">
        <f t="shared" si="65"/>
        <v>0</v>
      </c>
      <c r="MW48" s="242">
        <f t="shared" si="65"/>
        <v>0</v>
      </c>
      <c r="MX48" s="242">
        <f t="shared" si="65"/>
        <v>0</v>
      </c>
      <c r="MY48" s="663">
        <f t="shared" si="0"/>
        <v>4077155645</v>
      </c>
      <c r="MZ48" s="663">
        <f t="shared" si="1"/>
        <v>4066929000</v>
      </c>
      <c r="NA48" s="663">
        <f t="shared" si="2"/>
        <v>958878689</v>
      </c>
      <c r="NB48" s="663">
        <f t="shared" si="3"/>
        <v>956622209</v>
      </c>
      <c r="NC48" s="668"/>
    </row>
    <row r="49" spans="1:367" s="757" customFormat="1" ht="21.75" customHeight="1" x14ac:dyDescent="0.25">
      <c r="A49" s="753" t="s">
        <v>285</v>
      </c>
      <c r="B49" s="296" t="s">
        <v>2075</v>
      </c>
      <c r="C49" s="755"/>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754"/>
      <c r="AL49" s="754"/>
      <c r="AM49" s="754"/>
      <c r="AN49" s="754"/>
      <c r="AO49" s="754"/>
      <c r="AP49" s="754"/>
      <c r="AQ49" s="754"/>
      <c r="AR49" s="754"/>
      <c r="AS49" s="754"/>
      <c r="AT49" s="754"/>
      <c r="AU49" s="754"/>
      <c r="AV49" s="754"/>
      <c r="AW49" s="754"/>
      <c r="AX49" s="754"/>
      <c r="AY49" s="754"/>
      <c r="AZ49" s="754">
        <v>1</v>
      </c>
      <c r="BA49" s="754">
        <v>1</v>
      </c>
      <c r="BB49" s="754">
        <v>1</v>
      </c>
      <c r="BC49" s="754">
        <v>2</v>
      </c>
      <c r="BD49" s="754">
        <v>2</v>
      </c>
      <c r="BE49" s="754">
        <v>1</v>
      </c>
      <c r="BF49" s="754"/>
      <c r="BG49" s="754"/>
      <c r="BH49" s="754"/>
      <c r="BI49" s="754"/>
      <c r="BJ49" s="754"/>
      <c r="BK49" s="754"/>
      <c r="BL49" s="754"/>
      <c r="BM49" s="754"/>
      <c r="BN49" s="754"/>
      <c r="BO49" s="754"/>
      <c r="BP49" s="754"/>
      <c r="BQ49" s="754"/>
      <c r="BR49" s="754"/>
      <c r="BS49" s="754"/>
      <c r="BT49" s="754"/>
      <c r="BU49" s="754"/>
      <c r="BV49" s="754"/>
      <c r="BW49" s="754"/>
      <c r="BX49" s="754"/>
      <c r="BY49" s="754"/>
      <c r="BZ49" s="754"/>
      <c r="CA49" s="754"/>
      <c r="CB49" s="754"/>
      <c r="CC49" s="754"/>
      <c r="CD49" s="754"/>
      <c r="CE49" s="754"/>
      <c r="CF49" s="754"/>
      <c r="CG49" s="754"/>
      <c r="CH49" s="754"/>
      <c r="CI49" s="754"/>
      <c r="CJ49" s="754"/>
      <c r="CK49" s="754"/>
      <c r="CL49" s="754"/>
      <c r="CM49" s="754"/>
      <c r="CN49" s="754"/>
      <c r="CO49" s="754"/>
      <c r="CP49" s="754"/>
      <c r="CQ49" s="754"/>
      <c r="CR49" s="754"/>
      <c r="CS49" s="754"/>
      <c r="CT49" s="754"/>
      <c r="CU49" s="754"/>
      <c r="CV49" s="754"/>
      <c r="CW49" s="754"/>
      <c r="CX49" s="754"/>
      <c r="CY49" s="754"/>
      <c r="CZ49" s="754"/>
      <c r="DA49" s="754"/>
      <c r="DB49" s="754"/>
      <c r="DC49" s="754"/>
      <c r="DD49" s="754"/>
      <c r="DE49" s="754"/>
      <c r="DF49" s="754"/>
      <c r="DG49" s="754"/>
      <c r="DH49" s="754">
        <v>2</v>
      </c>
      <c r="DI49" s="754">
        <v>2</v>
      </c>
      <c r="DJ49" s="754">
        <v>2</v>
      </c>
      <c r="DK49" s="754"/>
      <c r="DL49" s="754"/>
      <c r="DM49" s="754"/>
      <c r="DN49" s="754"/>
      <c r="DO49" s="754"/>
      <c r="DP49" s="754"/>
      <c r="DQ49" s="754"/>
      <c r="DR49" s="754"/>
      <c r="DS49" s="754"/>
      <c r="DT49" s="754"/>
      <c r="DU49" s="754"/>
      <c r="DV49" s="754"/>
      <c r="DW49" s="754"/>
      <c r="DX49" s="754"/>
      <c r="DY49" s="754"/>
      <c r="DZ49" s="754">
        <v>2</v>
      </c>
      <c r="EA49" s="754">
        <v>2</v>
      </c>
      <c r="EB49" s="754">
        <v>1</v>
      </c>
      <c r="EC49" s="754">
        <v>3</v>
      </c>
      <c r="ED49" s="754">
        <v>3</v>
      </c>
      <c r="EE49" s="754">
        <v>2.6</v>
      </c>
      <c r="EF49" s="754"/>
      <c r="EG49" s="754"/>
      <c r="EH49" s="754"/>
      <c r="EI49" s="754"/>
      <c r="EJ49" s="754"/>
      <c r="EK49" s="754"/>
      <c r="EL49" s="754"/>
      <c r="EM49" s="754"/>
      <c r="EN49" s="754"/>
      <c r="EO49" s="754">
        <v>2</v>
      </c>
      <c r="EP49" s="754">
        <v>2</v>
      </c>
      <c r="EQ49" s="754">
        <v>0.6</v>
      </c>
      <c r="ER49" s="754">
        <v>5</v>
      </c>
      <c r="ES49" s="754">
        <v>5</v>
      </c>
      <c r="ET49" s="754">
        <v>4</v>
      </c>
      <c r="EU49" s="754"/>
      <c r="EV49" s="754"/>
      <c r="EW49" s="754"/>
      <c r="EX49" s="754">
        <v>1</v>
      </c>
      <c r="EY49" s="754">
        <v>1</v>
      </c>
      <c r="EZ49" s="754">
        <v>1</v>
      </c>
      <c r="FA49" s="754"/>
      <c r="FB49" s="754"/>
      <c r="FC49" s="754"/>
      <c r="FD49" s="754"/>
      <c r="FE49" s="754"/>
      <c r="FF49" s="754"/>
      <c r="FG49" s="754">
        <v>7</v>
      </c>
      <c r="FH49" s="754">
        <v>7</v>
      </c>
      <c r="FI49" s="754">
        <v>6.8</v>
      </c>
      <c r="FJ49" s="754"/>
      <c r="FK49" s="754"/>
      <c r="FL49" s="754"/>
      <c r="FM49" s="754"/>
      <c r="FN49" s="754"/>
      <c r="FO49" s="754"/>
      <c r="FP49" s="754"/>
      <c r="FQ49" s="754"/>
      <c r="FR49" s="754"/>
      <c r="FS49" s="754"/>
      <c r="FT49" s="754"/>
      <c r="FU49" s="754"/>
      <c r="FV49" s="754"/>
      <c r="FW49" s="754"/>
      <c r="FX49" s="754"/>
      <c r="FY49" s="754"/>
      <c r="FZ49" s="754"/>
      <c r="GA49" s="754"/>
      <c r="GB49" s="754"/>
      <c r="GC49" s="754"/>
      <c r="GD49" s="754"/>
      <c r="GE49" s="754"/>
      <c r="GF49" s="754"/>
      <c r="GG49" s="754"/>
      <c r="GH49" s="754"/>
      <c r="GI49" s="754"/>
      <c r="GJ49" s="754"/>
      <c r="GK49" s="754"/>
      <c r="GL49" s="754"/>
      <c r="GM49" s="754"/>
      <c r="GN49" s="754"/>
      <c r="GO49" s="754"/>
      <c r="GP49" s="754"/>
      <c r="GQ49" s="754"/>
      <c r="GR49" s="754"/>
      <c r="GS49" s="754"/>
      <c r="GT49" s="754"/>
      <c r="GU49" s="754"/>
      <c r="GV49" s="754"/>
      <c r="GW49" s="754"/>
      <c r="GX49" s="754"/>
      <c r="GY49" s="754"/>
      <c r="GZ49" s="754"/>
      <c r="HA49" s="754"/>
      <c r="HB49" s="754"/>
      <c r="HC49" s="754"/>
      <c r="HD49" s="754"/>
      <c r="HE49" s="754"/>
      <c r="HF49" s="754"/>
      <c r="HG49" s="754"/>
      <c r="HH49" s="754"/>
      <c r="HI49" s="754"/>
      <c r="HJ49" s="754"/>
      <c r="HK49" s="754"/>
      <c r="HL49" s="754"/>
      <c r="HM49" s="754"/>
      <c r="HN49" s="754"/>
      <c r="HO49" s="754"/>
      <c r="HP49" s="754"/>
      <c r="HQ49" s="754"/>
      <c r="HR49" s="754"/>
      <c r="HS49" s="754"/>
      <c r="HT49" s="754"/>
      <c r="HU49" s="754"/>
      <c r="HV49" s="754"/>
      <c r="HW49" s="754"/>
      <c r="HX49" s="754"/>
      <c r="HY49" s="754"/>
      <c r="HZ49" s="754"/>
      <c r="IA49" s="754"/>
      <c r="IB49" s="754"/>
      <c r="IC49" s="754"/>
      <c r="ID49" s="754"/>
      <c r="IE49" s="754"/>
      <c r="IF49" s="754"/>
      <c r="IG49" s="754"/>
      <c r="IH49" s="754"/>
      <c r="II49" s="754"/>
      <c r="IJ49" s="754"/>
      <c r="IK49" s="754"/>
      <c r="IL49" s="754"/>
      <c r="IM49" s="754"/>
      <c r="IN49" s="754"/>
      <c r="IO49" s="754"/>
      <c r="IP49" s="754"/>
      <c r="IQ49" s="754"/>
      <c r="IR49" s="754"/>
      <c r="IS49" s="754"/>
      <c r="IT49" s="754"/>
      <c r="IU49" s="754"/>
      <c r="IV49" s="754"/>
      <c r="IW49" s="754"/>
      <c r="IX49" s="754"/>
      <c r="IY49" s="754"/>
      <c r="IZ49" s="754"/>
      <c r="JA49" s="754"/>
      <c r="JB49" s="754"/>
      <c r="JC49" s="754"/>
      <c r="JD49" s="754"/>
      <c r="JE49" s="754"/>
      <c r="JF49" s="754"/>
      <c r="JG49" s="754"/>
      <c r="JH49" s="754"/>
      <c r="JI49" s="754"/>
      <c r="JJ49" s="754"/>
      <c r="JK49" s="754"/>
      <c r="JL49" s="754"/>
      <c r="JM49" s="754"/>
      <c r="JN49" s="754"/>
      <c r="JO49" s="754"/>
      <c r="JP49" s="754"/>
      <c r="JQ49" s="754"/>
      <c r="JR49" s="754"/>
      <c r="JS49" s="754"/>
      <c r="JT49" s="754"/>
      <c r="JU49" s="754"/>
      <c r="JV49" s="754"/>
      <c r="JW49" s="754"/>
      <c r="JX49" s="754"/>
      <c r="JY49" s="754"/>
      <c r="JZ49" s="754"/>
      <c r="KA49" s="754"/>
      <c r="KB49" s="754"/>
      <c r="KC49" s="754"/>
      <c r="KD49" s="754"/>
      <c r="KE49" s="754"/>
      <c r="KF49" s="754"/>
      <c r="KG49" s="754"/>
      <c r="KH49" s="754"/>
      <c r="KI49" s="754"/>
      <c r="KJ49" s="754"/>
      <c r="KK49" s="754"/>
      <c r="KL49" s="754"/>
      <c r="KM49" s="754"/>
      <c r="KN49" s="754"/>
      <c r="KO49" s="754"/>
      <c r="KP49" s="754"/>
      <c r="KQ49" s="754"/>
      <c r="KR49" s="754"/>
      <c r="KS49" s="754"/>
      <c r="KT49" s="754"/>
      <c r="KU49" s="754"/>
      <c r="KV49" s="754"/>
      <c r="KW49" s="754"/>
      <c r="KX49" s="754"/>
      <c r="KY49" s="754"/>
      <c r="KZ49" s="754"/>
      <c r="LA49" s="754"/>
      <c r="LB49" s="754"/>
      <c r="LC49" s="754"/>
      <c r="LD49" s="754"/>
      <c r="LE49" s="754"/>
      <c r="LF49" s="754"/>
      <c r="LG49" s="754"/>
      <c r="LH49" s="754"/>
      <c r="LI49" s="754"/>
      <c r="LJ49" s="754"/>
      <c r="LK49" s="754"/>
      <c r="LL49" s="754"/>
      <c r="LM49" s="754"/>
      <c r="LN49" s="754"/>
      <c r="LO49" s="754"/>
      <c r="LP49" s="754"/>
      <c r="LQ49" s="754"/>
      <c r="LR49" s="754"/>
      <c r="LS49" s="754"/>
      <c r="LT49" s="754"/>
      <c r="LU49" s="754"/>
      <c r="LV49" s="754"/>
      <c r="LW49" s="754"/>
      <c r="LX49" s="754"/>
      <c r="LY49" s="754"/>
      <c r="LZ49" s="754"/>
      <c r="MA49" s="754"/>
      <c r="MB49" s="754"/>
      <c r="MC49" s="754"/>
      <c r="MD49" s="754"/>
      <c r="ME49" s="754"/>
      <c r="MF49" s="754"/>
      <c r="MG49" s="754"/>
      <c r="MH49" s="754"/>
      <c r="MI49" s="754"/>
      <c r="MJ49" s="754"/>
      <c r="MK49" s="754"/>
      <c r="ML49" s="754"/>
      <c r="MM49" s="754"/>
      <c r="MN49" s="754"/>
      <c r="MO49" s="754"/>
      <c r="MP49" s="754"/>
      <c r="MQ49" s="754"/>
      <c r="MR49" s="754"/>
      <c r="MS49" s="754"/>
      <c r="MT49" s="754"/>
      <c r="MU49" s="754"/>
      <c r="MV49" s="754"/>
      <c r="MW49" s="754"/>
      <c r="MX49" s="754"/>
      <c r="MY49" s="663">
        <f t="shared" si="0"/>
        <v>17</v>
      </c>
      <c r="MZ49" s="663">
        <f t="shared" si="1"/>
        <v>12.2</v>
      </c>
      <c r="NA49" s="663">
        <f t="shared" si="2"/>
        <v>8</v>
      </c>
      <c r="NB49" s="756">
        <f t="shared" si="3"/>
        <v>7.8</v>
      </c>
      <c r="NC49" s="756"/>
    </row>
    <row r="50" spans="1:367" s="215" customFormat="1" ht="21.75" customHeight="1" x14ac:dyDescent="0.25">
      <c r="A50" s="208" t="s">
        <v>286</v>
      </c>
      <c r="B50" s="224" t="s">
        <v>964</v>
      </c>
      <c r="C50" s="210"/>
      <c r="D50" s="243">
        <v>188000000</v>
      </c>
      <c r="E50" s="243">
        <f>188000000-10000000-4465300-277398-5047000-1482802-12848000</f>
        <v>153879500</v>
      </c>
      <c r="F50" s="243"/>
      <c r="G50" s="243">
        <v>50000000</v>
      </c>
      <c r="H50" s="243">
        <v>50000000</v>
      </c>
      <c r="I50" s="243"/>
      <c r="J50" s="243"/>
      <c r="K50" s="243"/>
      <c r="L50" s="243"/>
      <c r="M50" s="243"/>
      <c r="N50" s="243"/>
      <c r="O50" s="243"/>
      <c r="P50" s="243"/>
      <c r="Q50" s="243"/>
      <c r="R50" s="243"/>
      <c r="S50" s="243"/>
      <c r="T50" s="243"/>
      <c r="U50" s="243"/>
      <c r="V50" s="243">
        <v>52000000</v>
      </c>
      <c r="W50" s="243">
        <v>52000000</v>
      </c>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c r="CO50" s="243"/>
      <c r="CP50" s="243"/>
      <c r="CQ50" s="243"/>
      <c r="CR50" s="243"/>
      <c r="CS50" s="243"/>
      <c r="CT50" s="243"/>
      <c r="CU50" s="243"/>
      <c r="CV50" s="243"/>
      <c r="CW50" s="243"/>
      <c r="CX50" s="243"/>
      <c r="CY50" s="243"/>
      <c r="CZ50" s="243"/>
      <c r="DA50" s="243"/>
      <c r="DB50" s="243">
        <v>10000000</v>
      </c>
      <c r="DC50" s="243">
        <v>10000000</v>
      </c>
      <c r="DD50" s="243"/>
      <c r="DE50" s="243"/>
      <c r="DF50" s="243"/>
      <c r="DG50" s="243"/>
      <c r="DH50" s="243">
        <v>20000000</v>
      </c>
      <c r="DI50" s="243">
        <v>20000000</v>
      </c>
      <c r="DJ50" s="243"/>
      <c r="DK50" s="243"/>
      <c r="DL50" s="243"/>
      <c r="DM50" s="243"/>
      <c r="DN50" s="243"/>
      <c r="DO50" s="243"/>
      <c r="DP50" s="243"/>
      <c r="DQ50" s="243">
        <v>600000000</v>
      </c>
      <c r="DR50" s="243">
        <v>600000000</v>
      </c>
      <c r="DS50" s="243"/>
      <c r="DT50" s="243"/>
      <c r="DU50" s="243"/>
      <c r="DV50" s="243"/>
      <c r="DW50" s="243"/>
      <c r="DX50" s="243"/>
      <c r="DY50" s="243"/>
      <c r="DZ50" s="243"/>
      <c r="EA50" s="243"/>
      <c r="EB50" s="243"/>
      <c r="EC50" s="243"/>
      <c r="ED50" s="243"/>
      <c r="EE50" s="243"/>
      <c r="EF50" s="243"/>
      <c r="EG50" s="243"/>
      <c r="EH50" s="243"/>
      <c r="EI50" s="243"/>
      <c r="EJ50" s="243"/>
      <c r="EK50" s="243"/>
      <c r="EL50" s="243"/>
      <c r="EM50" s="243"/>
      <c r="EN50" s="243"/>
      <c r="EO50" s="243"/>
      <c r="EP50" s="243"/>
      <c r="EQ50" s="243"/>
      <c r="ER50" s="243"/>
      <c r="ES50" s="243"/>
      <c r="ET50" s="243"/>
      <c r="EU50" s="243"/>
      <c r="EV50" s="243"/>
      <c r="EW50" s="243"/>
      <c r="EX50" s="243"/>
      <c r="EY50" s="243"/>
      <c r="EZ50" s="243"/>
      <c r="FA50" s="243"/>
      <c r="FB50" s="243"/>
      <c r="FC50" s="243"/>
      <c r="FD50" s="243"/>
      <c r="FE50" s="243"/>
      <c r="FF50" s="243"/>
      <c r="FG50" s="229"/>
      <c r="FH50" s="229"/>
      <c r="FI50" s="229"/>
      <c r="FJ50" s="243"/>
      <c r="FK50" s="243"/>
      <c r="FL50" s="243"/>
      <c r="FM50" s="243"/>
      <c r="FN50" s="243"/>
      <c r="FO50" s="243"/>
      <c r="FP50" s="243"/>
      <c r="FQ50" s="243"/>
      <c r="FR50" s="243"/>
      <c r="FS50" s="243"/>
      <c r="FT50" s="243"/>
      <c r="FU50" s="243"/>
      <c r="FV50" s="243"/>
      <c r="FW50" s="243"/>
      <c r="FX50" s="243"/>
      <c r="FY50" s="243"/>
      <c r="FZ50" s="243"/>
      <c r="GA50" s="243"/>
      <c r="GB50" s="243"/>
      <c r="GC50" s="243"/>
      <c r="GD50" s="243"/>
      <c r="GE50" s="243"/>
      <c r="GF50" s="243"/>
      <c r="GG50" s="243"/>
      <c r="GH50" s="243"/>
      <c r="GI50" s="243"/>
      <c r="GJ50" s="243"/>
      <c r="GK50" s="243"/>
      <c r="GL50" s="243"/>
      <c r="GM50" s="243"/>
      <c r="GN50" s="243"/>
      <c r="GO50" s="243"/>
      <c r="GP50" s="243"/>
      <c r="GQ50" s="243"/>
      <c r="GR50" s="243"/>
      <c r="GS50" s="243"/>
      <c r="GT50" s="243"/>
      <c r="GU50" s="243"/>
      <c r="GV50" s="243"/>
      <c r="GW50" s="243"/>
      <c r="GX50" s="243"/>
      <c r="GY50" s="243"/>
      <c r="GZ50" s="243"/>
      <c r="HA50" s="243"/>
      <c r="HB50" s="243"/>
      <c r="HC50" s="243"/>
      <c r="HD50" s="243"/>
      <c r="HE50" s="243"/>
      <c r="HF50" s="243"/>
      <c r="HG50" s="243"/>
      <c r="HH50" s="243"/>
      <c r="HI50" s="243"/>
      <c r="HJ50" s="243"/>
      <c r="HK50" s="243"/>
      <c r="HL50" s="243"/>
      <c r="HM50" s="243"/>
      <c r="HN50" s="243"/>
      <c r="HO50" s="243"/>
      <c r="HP50" s="243"/>
      <c r="HQ50" s="243"/>
      <c r="HR50" s="243"/>
      <c r="HS50" s="243"/>
      <c r="HT50" s="243"/>
      <c r="HU50" s="243"/>
      <c r="HV50" s="243"/>
      <c r="HW50" s="243"/>
      <c r="HX50" s="243"/>
      <c r="HY50" s="243"/>
      <c r="HZ50" s="243"/>
      <c r="IA50" s="243"/>
      <c r="IB50" s="243"/>
      <c r="IC50" s="243"/>
      <c r="ID50" s="243"/>
      <c r="IE50" s="243"/>
      <c r="IF50" s="243"/>
      <c r="IG50" s="243">
        <f>+'8.sz.Tartalékok'!E74</f>
        <v>20000000</v>
      </c>
      <c r="IH50" s="243">
        <v>20000000</v>
      </c>
      <c r="II50" s="243"/>
      <c r="IJ50" s="243"/>
      <c r="IK50" s="243"/>
      <c r="IL50" s="243"/>
      <c r="IM50" s="243"/>
      <c r="IN50" s="243"/>
      <c r="IO50" s="243"/>
      <c r="IP50" s="243"/>
      <c r="IQ50" s="243"/>
      <c r="IR50" s="243"/>
      <c r="IS50" s="243"/>
      <c r="IT50" s="243"/>
      <c r="IU50" s="243"/>
      <c r="IV50" s="243"/>
      <c r="IW50" s="243"/>
      <c r="IX50" s="243"/>
      <c r="IY50" s="243"/>
      <c r="IZ50" s="243"/>
      <c r="JA50" s="243"/>
      <c r="JB50" s="243"/>
      <c r="JC50" s="243"/>
      <c r="JD50" s="243"/>
      <c r="JE50" s="243"/>
      <c r="JF50" s="243"/>
      <c r="JG50" s="243"/>
      <c r="JH50" s="243"/>
      <c r="JI50" s="243"/>
      <c r="JJ50" s="243"/>
      <c r="JK50" s="243"/>
      <c r="JL50" s="243"/>
      <c r="JM50" s="243"/>
      <c r="JN50" s="243"/>
      <c r="JO50" s="243"/>
      <c r="JP50" s="243"/>
      <c r="JQ50" s="243"/>
      <c r="JR50" s="243"/>
      <c r="JS50" s="243"/>
      <c r="JT50" s="243"/>
      <c r="JU50" s="243"/>
      <c r="JV50" s="243"/>
      <c r="JW50" s="243"/>
      <c r="JX50" s="243"/>
      <c r="JY50" s="243"/>
      <c r="JZ50" s="243"/>
      <c r="KA50" s="243"/>
      <c r="KB50" s="243"/>
      <c r="KC50" s="243"/>
      <c r="KD50" s="243"/>
      <c r="KE50" s="243"/>
      <c r="KF50" s="243"/>
      <c r="KG50" s="243"/>
      <c r="KH50" s="243"/>
      <c r="KI50" s="243"/>
      <c r="KJ50" s="243"/>
      <c r="KK50" s="243"/>
      <c r="KL50" s="243"/>
      <c r="KM50" s="243"/>
      <c r="KN50" s="243"/>
      <c r="KO50" s="243"/>
      <c r="KP50" s="243"/>
      <c r="KQ50" s="243"/>
      <c r="KR50" s="243"/>
      <c r="KS50" s="243"/>
      <c r="KT50" s="243"/>
      <c r="KU50" s="243"/>
      <c r="KV50" s="243"/>
      <c r="KW50" s="243"/>
      <c r="KX50" s="243"/>
      <c r="KY50" s="243"/>
      <c r="KZ50" s="243"/>
      <c r="LA50" s="243"/>
      <c r="LB50" s="243"/>
      <c r="LC50" s="243"/>
      <c r="LD50" s="243"/>
      <c r="LE50" s="243"/>
      <c r="LF50" s="243"/>
      <c r="LG50" s="243"/>
      <c r="LH50" s="243"/>
      <c r="LI50" s="243"/>
      <c r="LJ50" s="243"/>
      <c r="LK50" s="243"/>
      <c r="LL50" s="243"/>
      <c r="LM50" s="243"/>
      <c r="LN50" s="243"/>
      <c r="LO50" s="243"/>
      <c r="LP50" s="243"/>
      <c r="LQ50" s="243"/>
      <c r="LR50" s="243"/>
      <c r="LS50" s="243"/>
      <c r="LT50" s="243"/>
      <c r="LU50" s="243"/>
      <c r="LV50" s="243"/>
      <c r="LW50" s="243"/>
      <c r="LX50" s="243"/>
      <c r="LY50" s="243"/>
      <c r="LZ50" s="243"/>
      <c r="MA50" s="243"/>
      <c r="MB50" s="243"/>
      <c r="MC50" s="243"/>
      <c r="MD50" s="243"/>
      <c r="ME50" s="243"/>
      <c r="MF50" s="243"/>
      <c r="MG50" s="243"/>
      <c r="MH50" s="243"/>
      <c r="MI50" s="243"/>
      <c r="MJ50" s="243"/>
      <c r="MK50" s="243"/>
      <c r="ML50" s="243"/>
      <c r="MM50" s="243"/>
      <c r="MN50" s="243"/>
      <c r="MO50" s="243"/>
      <c r="MP50" s="243"/>
      <c r="MQ50" s="243"/>
      <c r="MR50" s="243"/>
      <c r="MS50" s="243"/>
      <c r="MT50" s="243"/>
      <c r="MU50" s="243"/>
      <c r="MV50" s="243"/>
      <c r="MW50" s="243"/>
      <c r="MX50" s="243"/>
      <c r="MY50" s="663">
        <f>+E50+H50+K50+Q50++T50+W50+Z50+AC50+AF50+AO50+AR50+AU50+AX50+BA50+BD50+BG50+BJ50+BM50+BV50+BY50+CB50+CE50+CH50+CK50+CN50+CQ50+CT50+DC50+DF50+DI50+DL50+DR50+EA50+ED50+EG50+EJ50+EM50+EP50+ES50+EV50+FN50+FT50+GC50+GF50+GI50+GO50+GR50+HJ50+HM50+HP50+IM50+IJ50+IV50+IY50+JE50+JH50+JK50+JN50+JT50+JZ50+KC50+LA50+LD50+LG50+LJ50+LM50+LP50+LS50+LV50+ME50+MH50+MQ50+MT50+GL50+GU50+IH50</f>
        <v>905879500</v>
      </c>
      <c r="MZ50" s="663">
        <f>+F50+I50+L50+R50++U50+X50+AA50+AD50+AG50+AP50+AS50+AV50+AY50+BB50+BE50+BH50+BK50+BN50+BW50+BZ50+CC50+CF50+CI50+CL50+CO50+CR50+CU50+DD50+DG50+DJ50+DM50+DS50+EB50+EE50+EH50+EK50+EN50+EQ50+ET50+EW50+FO50+FU50+GD50+GG50+GJ50+GP50+GS50+HK50+HN50+HQ50+IN50+IK50+IW50+IZ50+JF50+JI50+JL50+JO50+JU50+KA50+KD50+LB50+LE50+LH50+LK50+LN50+LQ50+LT50+LW50+MF50+MI50+MR50+MU50+GM50+GV50</f>
        <v>0</v>
      </c>
      <c r="NA50" s="663">
        <f t="shared" si="2"/>
        <v>0</v>
      </c>
      <c r="NB50" s="669"/>
      <c r="NC50" s="669"/>
    </row>
    <row r="51" spans="1:367" x14ac:dyDescent="0.25">
      <c r="A51" s="204"/>
      <c r="D51" s="213">
        <f>SUM(D50:D50)</f>
        <v>188000000</v>
      </c>
      <c r="E51" s="213"/>
      <c r="F51" s="213"/>
      <c r="G51" s="213">
        <f>SUM(G50:G50)</f>
        <v>50000000</v>
      </c>
      <c r="H51" s="213"/>
      <c r="I51" s="213"/>
      <c r="J51" s="213"/>
      <c r="K51" s="213"/>
      <c r="L51" s="213"/>
      <c r="M51" s="213"/>
      <c r="N51" s="213"/>
      <c r="O51" s="213"/>
      <c r="P51" s="213"/>
      <c r="Q51" s="213"/>
      <c r="R51" s="213"/>
      <c r="S51" s="213"/>
      <c r="T51" s="213"/>
      <c r="U51" s="213"/>
      <c r="V51" s="213">
        <f>SUM(V50:V50)</f>
        <v>52000000</v>
      </c>
      <c r="W51" s="213"/>
      <c r="X51" s="213"/>
      <c r="Y51" s="213">
        <f>SUM(Y50:Y50)</f>
        <v>0</v>
      </c>
      <c r="Z51" s="213"/>
      <c r="AA51" s="213"/>
      <c r="AB51" s="213">
        <f>SUM(AB50:AB50)</f>
        <v>0</v>
      </c>
      <c r="AC51" s="213"/>
      <c r="AD51" s="213"/>
      <c r="AE51" s="213"/>
      <c r="AF51" s="213"/>
      <c r="AG51" s="213"/>
      <c r="AH51" s="213"/>
      <c r="AI51" s="213"/>
      <c r="AJ51" s="213"/>
      <c r="AK51" s="213"/>
      <c r="AL51" s="213"/>
      <c r="AM51" s="213"/>
      <c r="AN51" s="213"/>
      <c r="AO51" s="213"/>
      <c r="AP51" s="213"/>
      <c r="AQ51" s="213"/>
      <c r="AR51" s="213"/>
      <c r="AS51" s="213"/>
      <c r="AT51" s="213"/>
      <c r="AU51" s="213"/>
      <c r="AV51" s="213"/>
      <c r="AW51" s="244"/>
      <c r="AX51" s="244"/>
      <c r="AY51" s="244"/>
      <c r="AZ51" s="213"/>
      <c r="BA51" s="213"/>
      <c r="BB51" s="213"/>
      <c r="BC51" s="213"/>
      <c r="BD51" s="213"/>
      <c r="BE51" s="213"/>
      <c r="BF51" s="213"/>
      <c r="BG51" s="213"/>
      <c r="BH51" s="213"/>
      <c r="BI51" s="213"/>
      <c r="BJ51" s="213"/>
      <c r="BK51" s="213"/>
      <c r="BL51" s="213"/>
      <c r="BM51" s="213"/>
      <c r="BN51" s="213"/>
      <c r="BO51" s="213"/>
      <c r="BP51" s="213"/>
      <c r="BQ51" s="213"/>
      <c r="BR51" s="244"/>
      <c r="BS51" s="244"/>
      <c r="BT51" s="244"/>
      <c r="BU51" s="213"/>
      <c r="BV51" s="213"/>
      <c r="BW51" s="213"/>
      <c r="BX51" s="213"/>
      <c r="BY51" s="213"/>
      <c r="BZ51" s="213"/>
      <c r="CA51" s="213"/>
      <c r="CB51" s="213"/>
      <c r="CC51" s="213"/>
      <c r="CD51" s="213"/>
      <c r="CE51" s="213"/>
      <c r="CF51" s="213"/>
      <c r="CG51" s="213"/>
      <c r="CH51" s="213"/>
      <c r="CI51" s="213"/>
      <c r="CJ51" s="213"/>
      <c r="CK51" s="213"/>
      <c r="CL51" s="213"/>
      <c r="CM51" s="213"/>
      <c r="CN51" s="213"/>
      <c r="CO51" s="213"/>
      <c r="CP51" s="213"/>
      <c r="CQ51" s="213"/>
      <c r="CR51" s="213"/>
      <c r="CS51" s="213"/>
      <c r="CT51" s="213"/>
      <c r="CU51" s="213"/>
      <c r="CV51" s="213"/>
      <c r="CW51" s="213"/>
      <c r="CX51" s="213"/>
      <c r="CY51" s="213"/>
      <c r="CZ51" s="213"/>
      <c r="DA51" s="213"/>
      <c r="DB51" s="213"/>
      <c r="DC51" s="213"/>
      <c r="DD51" s="213"/>
      <c r="DE51" s="213"/>
      <c r="DF51" s="213"/>
      <c r="DG51" s="213"/>
      <c r="DH51" s="213"/>
      <c r="DI51" s="213"/>
      <c r="DJ51" s="213"/>
      <c r="DK51" s="213"/>
      <c r="DL51" s="213"/>
      <c r="DM51" s="213"/>
      <c r="DN51" s="213"/>
      <c r="DO51" s="213"/>
      <c r="DP51" s="213"/>
      <c r="DQ51" s="213"/>
      <c r="DR51" s="213"/>
      <c r="DS51" s="213"/>
      <c r="DT51" s="213"/>
      <c r="DU51" s="213"/>
      <c r="DV51" s="213"/>
      <c r="DW51" s="213"/>
      <c r="DX51" s="213"/>
      <c r="DY51" s="213"/>
      <c r="DZ51" s="213"/>
      <c r="EA51" s="213"/>
      <c r="EB51" s="213"/>
      <c r="EC51" s="213"/>
      <c r="ED51" s="213"/>
      <c r="EE51" s="213"/>
      <c r="EF51" s="213"/>
      <c r="EG51" s="213"/>
      <c r="EH51" s="213"/>
      <c r="EI51" s="213"/>
      <c r="EJ51" s="213"/>
      <c r="EK51" s="213"/>
      <c r="EL51" s="213"/>
      <c r="EM51" s="213"/>
      <c r="EN51" s="213"/>
      <c r="EO51" s="213"/>
      <c r="EP51" s="213"/>
      <c r="EQ51" s="213"/>
      <c r="ER51" s="213"/>
      <c r="ES51" s="213"/>
      <c r="ET51" s="213"/>
      <c r="EU51" s="213"/>
      <c r="EV51" s="213"/>
      <c r="EW51" s="213"/>
      <c r="EX51" s="213"/>
      <c r="EY51" s="213"/>
      <c r="EZ51" s="213"/>
      <c r="FA51" s="213"/>
      <c r="FB51" s="213"/>
      <c r="FC51" s="213"/>
      <c r="FD51" s="213"/>
      <c r="FE51" s="213"/>
      <c r="FF51" s="213"/>
      <c r="FG51" s="213"/>
      <c r="FH51" s="213"/>
      <c r="FI51" s="213"/>
      <c r="FJ51" s="213"/>
      <c r="FK51" s="213"/>
      <c r="FL51" s="213"/>
      <c r="FM51" s="213"/>
      <c r="FN51" s="213"/>
      <c r="FO51" s="213"/>
      <c r="FP51" s="213"/>
      <c r="FQ51" s="213"/>
      <c r="FR51" s="213"/>
      <c r="FS51" s="213"/>
      <c r="FT51" s="213"/>
      <c r="FU51" s="213"/>
      <c r="FV51" s="213"/>
      <c r="FW51" s="213"/>
      <c r="FX51" s="213"/>
      <c r="FY51" s="213"/>
      <c r="FZ51" s="213"/>
      <c r="GA51" s="213"/>
      <c r="GB51" s="244"/>
      <c r="GC51" s="244"/>
      <c r="GD51" s="244"/>
      <c r="GE51" s="213"/>
      <c r="GF51" s="213"/>
      <c r="GG51" s="213"/>
      <c r="GH51" s="213"/>
      <c r="GI51" s="213"/>
      <c r="GJ51" s="213"/>
      <c r="GK51" s="213"/>
      <c r="GL51" s="213"/>
      <c r="GM51" s="213"/>
      <c r="GN51" s="213"/>
      <c r="GO51" s="213"/>
      <c r="GP51" s="213"/>
      <c r="GQ51" s="213"/>
      <c r="GR51" s="213"/>
      <c r="GS51" s="213"/>
      <c r="GT51" s="213"/>
      <c r="GU51" s="213"/>
      <c r="GV51" s="213"/>
      <c r="GW51" s="213"/>
      <c r="GX51" s="213"/>
      <c r="GY51" s="213"/>
      <c r="GZ51" s="213"/>
      <c r="HA51" s="213"/>
      <c r="HB51" s="213"/>
      <c r="HC51" s="244"/>
      <c r="HD51" s="244"/>
      <c r="HE51" s="244"/>
      <c r="HF51" s="213"/>
      <c r="HG51" s="213"/>
      <c r="HH51" s="213"/>
      <c r="HI51" s="213"/>
      <c r="HJ51" s="213"/>
      <c r="HK51" s="213"/>
      <c r="HL51" s="213"/>
      <c r="HM51" s="213"/>
      <c r="HN51" s="213"/>
      <c r="HO51" s="213"/>
      <c r="HP51" s="213"/>
      <c r="HQ51" s="213"/>
      <c r="HR51" s="213"/>
      <c r="HS51" s="213"/>
      <c r="HT51" s="213"/>
      <c r="HU51" s="213"/>
      <c r="HV51" s="213"/>
      <c r="HW51" s="213"/>
      <c r="HX51" s="213"/>
      <c r="HY51" s="213"/>
      <c r="HZ51" s="213"/>
      <c r="IA51" s="213"/>
      <c r="IB51" s="213"/>
      <c r="IC51" s="213"/>
      <c r="ID51" s="213"/>
      <c r="IE51" s="213"/>
      <c r="IF51" s="213"/>
      <c r="IG51" s="213"/>
      <c r="IH51" s="213"/>
      <c r="II51" s="213"/>
      <c r="IJ51" s="213"/>
      <c r="IK51" s="213"/>
      <c r="IL51" s="290"/>
      <c r="IM51" s="290"/>
      <c r="IN51" s="290"/>
      <c r="IO51" s="213"/>
      <c r="IP51" s="213"/>
      <c r="IQ51" s="213"/>
      <c r="IR51" s="213"/>
      <c r="IS51" s="213"/>
      <c r="IT51" s="213"/>
      <c r="IU51" s="213"/>
      <c r="IV51" s="213"/>
      <c r="IW51" s="213"/>
      <c r="IX51" s="213"/>
      <c r="IY51" s="213"/>
      <c r="IZ51" s="213"/>
      <c r="JA51" s="213"/>
      <c r="JB51" s="213"/>
      <c r="JC51" s="213"/>
      <c r="JD51" s="213"/>
      <c r="JE51" s="213"/>
      <c r="JF51" s="213"/>
      <c r="JG51" s="213"/>
      <c r="JH51" s="213"/>
      <c r="JI51" s="213"/>
      <c r="JJ51" s="213"/>
      <c r="JK51" s="213"/>
      <c r="JL51" s="213"/>
      <c r="JM51" s="213"/>
      <c r="JN51" s="213"/>
      <c r="JO51" s="213"/>
      <c r="JP51" s="213"/>
      <c r="JQ51" s="213"/>
      <c r="JR51" s="213"/>
      <c r="JS51" s="213"/>
      <c r="JT51" s="213"/>
      <c r="JU51" s="213"/>
      <c r="JV51" s="213"/>
      <c r="JW51" s="213"/>
      <c r="JX51" s="213"/>
      <c r="JY51" s="244"/>
      <c r="JZ51" s="244"/>
      <c r="KA51" s="244"/>
      <c r="KB51" s="244"/>
      <c r="KC51" s="244"/>
      <c r="KD51" s="244"/>
      <c r="KE51" s="244"/>
      <c r="KF51" s="244"/>
      <c r="KG51" s="244"/>
      <c r="KH51" s="244"/>
      <c r="KI51" s="244"/>
      <c r="KJ51" s="244"/>
      <c r="KK51" s="244"/>
      <c r="KL51" s="244"/>
      <c r="KM51" s="244"/>
      <c r="KN51" s="244"/>
      <c r="KO51" s="244"/>
      <c r="KP51" s="244"/>
      <c r="KQ51" s="244"/>
      <c r="KR51" s="244"/>
      <c r="KS51" s="244"/>
      <c r="KT51" s="244"/>
      <c r="KU51" s="244"/>
      <c r="KV51" s="244"/>
      <c r="KW51" s="213"/>
      <c r="KX51" s="213"/>
      <c r="KY51" s="213"/>
      <c r="KZ51" s="213"/>
      <c r="LA51" s="213"/>
      <c r="LB51" s="213"/>
      <c r="LC51" s="213"/>
      <c r="LD51" s="213"/>
      <c r="LE51" s="213"/>
      <c r="LF51" s="213"/>
      <c r="LG51" s="213"/>
      <c r="LH51" s="213"/>
      <c r="LI51" s="213"/>
      <c r="LJ51" s="213"/>
      <c r="LK51" s="213"/>
      <c r="LL51" s="213"/>
      <c r="LM51" s="213"/>
      <c r="LN51" s="213"/>
      <c r="LO51" s="213"/>
      <c r="LP51" s="213"/>
      <c r="LQ51" s="213"/>
      <c r="LR51" s="213"/>
      <c r="LS51" s="213"/>
      <c r="LT51" s="213"/>
      <c r="LU51" s="213"/>
      <c r="LV51" s="213"/>
      <c r="LW51" s="213"/>
      <c r="LX51" s="213"/>
      <c r="LY51" s="213"/>
      <c r="LZ51" s="213"/>
      <c r="MA51" s="213"/>
      <c r="MB51" s="213"/>
      <c r="MC51" s="213"/>
      <c r="MD51" s="213"/>
      <c r="ME51" s="213"/>
      <c r="MF51" s="213"/>
      <c r="MG51" s="213"/>
      <c r="MH51" s="213"/>
      <c r="MI51" s="213"/>
      <c r="MJ51" s="213"/>
      <c r="MK51" s="213"/>
      <c r="ML51" s="213"/>
      <c r="MM51" s="213"/>
      <c r="MN51" s="213"/>
      <c r="MO51" s="213"/>
      <c r="MP51" s="213"/>
      <c r="MQ51" s="213"/>
      <c r="MR51" s="213"/>
      <c r="MS51" s="213"/>
      <c r="MT51" s="213"/>
      <c r="MU51" s="213"/>
      <c r="MV51" s="213"/>
      <c r="MW51" s="213"/>
      <c r="MX51" s="213"/>
      <c r="MY51" s="213"/>
      <c r="MZ51" s="213"/>
      <c r="NA51" s="213"/>
      <c r="NB51" s="213"/>
      <c r="NC51" s="213"/>
    </row>
    <row r="52" spans="1:367" x14ac:dyDescent="0.25">
      <c r="A52" s="204"/>
      <c r="D52" s="213">
        <f>+D30+D32+D33+D35+D38</f>
        <v>0</v>
      </c>
      <c r="E52" s="213"/>
      <c r="F52" s="213"/>
      <c r="G52" s="213">
        <f>+G30+G32+G33+G35+G38</f>
        <v>0</v>
      </c>
      <c r="H52" s="213"/>
      <c r="I52" s="213"/>
      <c r="J52" s="213"/>
      <c r="K52" s="213"/>
      <c r="L52" s="213"/>
      <c r="M52" s="213"/>
      <c r="N52" s="213"/>
      <c r="O52" s="213"/>
      <c r="P52" s="213"/>
      <c r="Q52" s="213"/>
      <c r="R52" s="213"/>
      <c r="S52" s="213"/>
      <c r="T52" s="213"/>
      <c r="U52" s="213"/>
      <c r="V52" s="213">
        <f>+V30+V32+V33+V35+V38</f>
        <v>0</v>
      </c>
      <c r="W52" s="213"/>
      <c r="X52" s="213"/>
      <c r="Y52" s="213">
        <f>+Y30+Y32+Y33+Y35+Y38</f>
        <v>0</v>
      </c>
      <c r="Z52" s="213"/>
      <c r="AA52" s="213"/>
      <c r="AB52" s="213">
        <f>+AB30+AB32+AB33+AB35+AB38</f>
        <v>0</v>
      </c>
      <c r="AC52" s="213"/>
      <c r="AD52" s="213"/>
      <c r="AE52" s="213"/>
      <c r="AF52" s="213"/>
      <c r="AG52" s="213"/>
      <c r="AH52" s="213"/>
      <c r="AI52" s="213"/>
      <c r="AJ52" s="213"/>
      <c r="AK52" s="213"/>
      <c r="AL52" s="213"/>
      <c r="AM52" s="213"/>
      <c r="AN52" s="213"/>
      <c r="AO52" s="213"/>
      <c r="AP52" s="213"/>
      <c r="AQ52" s="213"/>
      <c r="AR52" s="213"/>
      <c r="AS52" s="213"/>
      <c r="AT52" s="213"/>
      <c r="AU52" s="213"/>
      <c r="AV52" s="213"/>
      <c r="AW52" s="244"/>
      <c r="AX52" s="244"/>
      <c r="AY52" s="244"/>
      <c r="AZ52" s="213"/>
      <c r="BA52" s="213"/>
      <c r="BB52" s="213"/>
      <c r="BC52" s="213"/>
      <c r="BD52" s="213"/>
      <c r="BE52" s="213"/>
      <c r="BF52" s="213"/>
      <c r="BG52" s="213"/>
      <c r="BH52" s="213"/>
      <c r="BI52" s="213"/>
      <c r="BJ52" s="213"/>
      <c r="BK52" s="213"/>
      <c r="BL52" s="213"/>
      <c r="BM52" s="213"/>
      <c r="BN52" s="213"/>
      <c r="BO52" s="213"/>
      <c r="BP52" s="213"/>
      <c r="BQ52" s="213"/>
      <c r="BR52" s="244"/>
      <c r="BS52" s="244"/>
      <c r="BT52" s="244"/>
      <c r="BU52" s="213"/>
      <c r="BV52" s="213"/>
      <c r="BW52" s="213"/>
      <c r="BX52" s="213"/>
      <c r="BY52" s="213"/>
      <c r="BZ52" s="213"/>
      <c r="CA52" s="213"/>
      <c r="CB52" s="213"/>
      <c r="CC52" s="213"/>
      <c r="CD52" s="213"/>
      <c r="CE52" s="213"/>
      <c r="CF52" s="213"/>
      <c r="CG52" s="213"/>
      <c r="CH52" s="213"/>
      <c r="CI52" s="213"/>
      <c r="CJ52" s="213"/>
      <c r="CK52" s="213"/>
      <c r="CL52" s="213"/>
      <c r="CM52" s="213"/>
      <c r="CN52" s="213"/>
      <c r="CO52" s="213"/>
      <c r="CP52" s="213"/>
      <c r="CQ52" s="213"/>
      <c r="CR52" s="213"/>
      <c r="CS52" s="213"/>
      <c r="CT52" s="213"/>
      <c r="CU52" s="213"/>
      <c r="CV52" s="213"/>
      <c r="CW52" s="213"/>
      <c r="CX52" s="213"/>
      <c r="CY52" s="213"/>
      <c r="CZ52" s="213"/>
      <c r="DA52" s="213"/>
      <c r="DB52" s="213"/>
      <c r="DC52" s="213"/>
      <c r="DD52" s="213"/>
      <c r="DE52" s="213"/>
      <c r="DF52" s="213"/>
      <c r="DG52" s="213"/>
      <c r="DH52" s="213"/>
      <c r="DI52" s="213"/>
      <c r="DJ52" s="213"/>
      <c r="DK52" s="213"/>
      <c r="DL52" s="213"/>
      <c r="DM52" s="213"/>
      <c r="DN52" s="213"/>
      <c r="DO52" s="213"/>
      <c r="DP52" s="213"/>
      <c r="DQ52" s="213"/>
      <c r="DR52" s="213"/>
      <c r="DS52" s="213"/>
      <c r="DT52" s="213"/>
      <c r="DU52" s="213"/>
      <c r="DV52" s="213"/>
      <c r="DW52" s="213"/>
      <c r="DX52" s="213"/>
      <c r="DY52" s="213"/>
      <c r="DZ52" s="213"/>
      <c r="EA52" s="213"/>
      <c r="EB52" s="213"/>
      <c r="EC52" s="213"/>
      <c r="ED52" s="213"/>
      <c r="EE52" s="213"/>
      <c r="EF52" s="213"/>
      <c r="EG52" s="213"/>
      <c r="EH52" s="213"/>
      <c r="EI52" s="213"/>
      <c r="EJ52" s="213"/>
      <c r="EK52" s="213"/>
      <c r="EL52" s="213"/>
      <c r="EM52" s="213"/>
      <c r="EN52" s="213"/>
      <c r="EO52" s="213"/>
      <c r="EP52" s="213"/>
      <c r="EQ52" s="213"/>
      <c r="ER52" s="213"/>
      <c r="ES52" s="213"/>
      <c r="ET52" s="213"/>
      <c r="EU52" s="213"/>
      <c r="EV52" s="213"/>
      <c r="EW52" s="213"/>
      <c r="EX52" s="213"/>
      <c r="EY52" s="213"/>
      <c r="EZ52" s="213"/>
      <c r="FA52" s="213"/>
      <c r="FB52" s="213"/>
      <c r="FC52" s="213"/>
      <c r="FD52" s="213"/>
      <c r="FE52" s="213"/>
      <c r="FF52" s="213"/>
      <c r="FG52" s="213"/>
      <c r="FH52" s="213"/>
      <c r="FI52" s="213"/>
      <c r="FJ52" s="213"/>
      <c r="FK52" s="213"/>
      <c r="FL52" s="213"/>
      <c r="FM52" s="213"/>
      <c r="FN52" s="213"/>
      <c r="FO52" s="213"/>
      <c r="FP52" s="213"/>
      <c r="FQ52" s="213"/>
      <c r="FR52" s="213"/>
      <c r="FS52" s="213"/>
      <c r="FT52" s="213"/>
      <c r="FU52" s="213"/>
      <c r="FV52" s="213"/>
      <c r="FW52" s="213"/>
      <c r="FX52" s="213"/>
      <c r="FY52" s="213"/>
      <c r="FZ52" s="213"/>
      <c r="GA52" s="213"/>
      <c r="GB52" s="244"/>
      <c r="GC52" s="244"/>
      <c r="GD52" s="244"/>
      <c r="GE52" s="213"/>
      <c r="GF52" s="213"/>
      <c r="GG52" s="213"/>
      <c r="GH52" s="213"/>
      <c r="GI52" s="213"/>
      <c r="GJ52" s="213"/>
      <c r="GK52" s="213"/>
      <c r="GL52" s="213"/>
      <c r="GM52" s="213"/>
      <c r="GN52" s="213"/>
      <c r="GO52" s="213"/>
      <c r="GP52" s="213"/>
      <c r="GQ52" s="213"/>
      <c r="GR52" s="213"/>
      <c r="GS52" s="213"/>
      <c r="GT52" s="213"/>
      <c r="GU52" s="213"/>
      <c r="GV52" s="213"/>
      <c r="GW52" s="213"/>
      <c r="GX52" s="213"/>
      <c r="GY52" s="213"/>
      <c r="GZ52" s="213"/>
      <c r="HA52" s="213"/>
      <c r="HB52" s="213"/>
      <c r="HC52" s="244"/>
      <c r="HD52" s="244"/>
      <c r="HE52" s="244"/>
      <c r="HF52" s="213"/>
      <c r="HG52" s="213"/>
      <c r="HH52" s="213"/>
      <c r="HI52" s="213"/>
      <c r="HJ52" s="213"/>
      <c r="HK52" s="213"/>
      <c r="HL52" s="213"/>
      <c r="HM52" s="213"/>
      <c r="HN52" s="213"/>
      <c r="HO52" s="213"/>
      <c r="HP52" s="213"/>
      <c r="HQ52" s="213"/>
      <c r="HR52" s="213"/>
      <c r="HS52" s="213"/>
      <c r="HT52" s="213"/>
      <c r="HU52" s="213"/>
      <c r="HV52" s="213"/>
      <c r="HW52" s="213"/>
      <c r="HX52" s="213"/>
      <c r="HY52" s="213"/>
      <c r="HZ52" s="213"/>
      <c r="IA52" s="213"/>
      <c r="IB52" s="213"/>
      <c r="IC52" s="213"/>
      <c r="ID52" s="213"/>
      <c r="IE52" s="213"/>
      <c r="IF52" s="213"/>
      <c r="IG52" s="213"/>
      <c r="IH52" s="213"/>
      <c r="II52" s="213"/>
      <c r="IJ52" s="213"/>
      <c r="IK52" s="213"/>
      <c r="IL52" s="213"/>
      <c r="IM52" s="213"/>
      <c r="IN52" s="213"/>
      <c r="IO52" s="213"/>
      <c r="IP52" s="213"/>
      <c r="IQ52" s="213"/>
      <c r="IR52" s="213"/>
      <c r="IS52" s="213"/>
      <c r="IT52" s="213"/>
      <c r="IU52" s="213"/>
      <c r="IV52" s="213"/>
      <c r="IW52" s="213"/>
      <c r="IX52" s="213"/>
      <c r="IY52" s="213"/>
      <c r="IZ52" s="213"/>
      <c r="JA52" s="213"/>
      <c r="JB52" s="213"/>
      <c r="JC52" s="213"/>
      <c r="JD52" s="213"/>
      <c r="JE52" s="213"/>
      <c r="JF52" s="213"/>
      <c r="JG52" s="213"/>
      <c r="JH52" s="213"/>
      <c r="JI52" s="213"/>
      <c r="JJ52" s="213"/>
      <c r="JK52" s="213"/>
      <c r="JL52" s="213"/>
      <c r="JM52" s="213"/>
      <c r="JN52" s="213"/>
      <c r="JO52" s="213"/>
      <c r="JP52" s="213"/>
      <c r="JQ52" s="213"/>
      <c r="JR52" s="213"/>
      <c r="JS52" s="213"/>
      <c r="JT52" s="213"/>
      <c r="JU52" s="213"/>
      <c r="JV52" s="213"/>
      <c r="JW52" s="213"/>
      <c r="JX52" s="213"/>
      <c r="JY52" s="244"/>
      <c r="JZ52" s="244"/>
      <c r="KA52" s="244"/>
      <c r="KB52" s="244"/>
      <c r="KC52" s="244"/>
      <c r="KD52" s="244"/>
      <c r="KE52" s="244"/>
      <c r="KF52" s="244"/>
      <c r="KG52" s="244"/>
      <c r="KH52" s="244"/>
      <c r="KI52" s="244"/>
      <c r="KJ52" s="244"/>
      <c r="KK52" s="244"/>
      <c r="KL52" s="244"/>
      <c r="KM52" s="244"/>
      <c r="KN52" s="244"/>
      <c r="KO52" s="244"/>
      <c r="KP52" s="244"/>
      <c r="KQ52" s="244"/>
      <c r="KR52" s="244"/>
      <c r="KS52" s="244"/>
      <c r="KT52" s="244"/>
      <c r="KU52" s="244"/>
      <c r="KV52" s="244"/>
      <c r="KW52" s="213"/>
      <c r="KX52" s="213"/>
      <c r="KY52" s="213"/>
      <c r="KZ52" s="213"/>
      <c r="LA52" s="213"/>
      <c r="LB52" s="213"/>
      <c r="LC52" s="213"/>
      <c r="LD52" s="213"/>
      <c r="LE52" s="213"/>
      <c r="LF52" s="213"/>
      <c r="LG52" s="213"/>
      <c r="LH52" s="213"/>
      <c r="LI52" s="213"/>
      <c r="LJ52" s="213"/>
      <c r="LK52" s="213"/>
      <c r="LL52" s="213"/>
      <c r="LM52" s="213"/>
      <c r="LN52" s="213"/>
      <c r="LO52" s="213"/>
      <c r="LP52" s="213"/>
      <c r="LQ52" s="213"/>
      <c r="LR52" s="213"/>
      <c r="LS52" s="213"/>
      <c r="LT52" s="213"/>
      <c r="LU52" s="213"/>
      <c r="LV52" s="213"/>
      <c r="LW52" s="213"/>
      <c r="LX52" s="213"/>
      <c r="LY52" s="213"/>
      <c r="LZ52" s="213"/>
      <c r="MA52" s="213"/>
      <c r="MB52" s="213"/>
      <c r="MC52" s="213"/>
      <c r="MD52" s="213"/>
      <c r="ME52" s="213"/>
      <c r="MF52" s="213"/>
      <c r="MG52" s="213"/>
      <c r="MH52" s="213"/>
      <c r="MI52" s="213"/>
      <c r="MJ52" s="213"/>
      <c r="MK52" s="213"/>
      <c r="ML52" s="213"/>
      <c r="MM52" s="213"/>
      <c r="MN52" s="213"/>
      <c r="MO52" s="213"/>
      <c r="MP52" s="213"/>
      <c r="MQ52" s="213"/>
      <c r="MR52" s="213"/>
      <c r="MS52" s="213"/>
      <c r="MT52" s="213"/>
      <c r="MU52" s="213"/>
      <c r="MV52" s="213"/>
      <c r="MW52" s="213"/>
      <c r="MX52" s="213"/>
      <c r="MY52" s="213"/>
      <c r="MZ52" s="213"/>
      <c r="NA52" s="213"/>
      <c r="NB52" s="213"/>
      <c r="NC52" s="213"/>
    </row>
    <row r="53" spans="1:367" x14ac:dyDescent="0.25">
      <c r="A53" s="204"/>
      <c r="D53" s="213">
        <f>+D46</f>
        <v>0</v>
      </c>
      <c r="E53" s="213"/>
      <c r="F53" s="213"/>
      <c r="G53" s="213">
        <f>+G46</f>
        <v>0</v>
      </c>
      <c r="H53" s="213"/>
      <c r="I53" s="213"/>
      <c r="J53" s="213"/>
      <c r="K53" s="213"/>
      <c r="L53" s="213"/>
      <c r="M53" s="213"/>
      <c r="N53" s="213"/>
      <c r="O53" s="213"/>
      <c r="P53" s="213"/>
      <c r="Q53" s="213"/>
      <c r="R53" s="213"/>
      <c r="S53" s="213"/>
      <c r="T53" s="213"/>
      <c r="U53" s="213"/>
      <c r="V53" s="213">
        <f>+V46</f>
        <v>0</v>
      </c>
      <c r="W53" s="213"/>
      <c r="X53" s="213"/>
      <c r="Y53" s="213">
        <f>+Y46</f>
        <v>0</v>
      </c>
      <c r="Z53" s="213"/>
      <c r="AA53" s="213"/>
      <c r="AB53" s="213">
        <f>+AB46</f>
        <v>0</v>
      </c>
      <c r="AC53" s="213"/>
      <c r="AD53" s="213"/>
      <c r="AE53" s="213"/>
      <c r="AF53" s="213"/>
      <c r="AG53" s="213"/>
      <c r="AH53" s="213"/>
      <c r="AI53" s="213"/>
      <c r="AJ53" s="213"/>
      <c r="AK53" s="213"/>
      <c r="AL53" s="213"/>
      <c r="AM53" s="213"/>
      <c r="AN53" s="213"/>
      <c r="AO53" s="213"/>
      <c r="AP53" s="213"/>
      <c r="AQ53" s="213"/>
      <c r="AR53" s="213"/>
      <c r="AS53" s="213"/>
      <c r="AT53" s="213"/>
      <c r="AU53" s="213"/>
      <c r="AV53" s="213"/>
      <c r="AW53" s="244"/>
      <c r="AX53" s="244"/>
      <c r="AY53" s="244"/>
      <c r="AZ53" s="213"/>
      <c r="BA53" s="213"/>
      <c r="BB53" s="213"/>
      <c r="BC53" s="213"/>
      <c r="BD53" s="213"/>
      <c r="BE53" s="213"/>
      <c r="BF53" s="213"/>
      <c r="BG53" s="213"/>
      <c r="BH53" s="213"/>
      <c r="BI53" s="213"/>
      <c r="BJ53" s="213"/>
      <c r="BK53" s="213"/>
      <c r="BL53" s="213"/>
      <c r="BM53" s="213"/>
      <c r="BN53" s="213"/>
      <c r="BO53" s="213"/>
      <c r="BP53" s="213"/>
      <c r="BQ53" s="213"/>
      <c r="BR53" s="244"/>
      <c r="BS53" s="244"/>
      <c r="BT53" s="244"/>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3"/>
      <c r="CV53" s="213"/>
      <c r="CW53" s="213"/>
      <c r="CX53" s="213"/>
      <c r="CY53" s="213"/>
      <c r="CZ53" s="213"/>
      <c r="DA53" s="213"/>
      <c r="DB53" s="213"/>
      <c r="DC53" s="213"/>
      <c r="DD53" s="213"/>
      <c r="DE53" s="213"/>
      <c r="DF53" s="213"/>
      <c r="DG53" s="213"/>
      <c r="DH53" s="213"/>
      <c r="DI53" s="213"/>
      <c r="DJ53" s="213"/>
      <c r="DK53" s="213"/>
      <c r="DL53" s="213"/>
      <c r="DM53" s="213"/>
      <c r="DN53" s="213"/>
      <c r="DO53" s="213"/>
      <c r="DP53" s="213"/>
      <c r="DQ53" s="213"/>
      <c r="DR53" s="213"/>
      <c r="DS53" s="213"/>
      <c r="DT53" s="213"/>
      <c r="DU53" s="213"/>
      <c r="DV53" s="213"/>
      <c r="DW53" s="213"/>
      <c r="DX53" s="213"/>
      <c r="DY53" s="213"/>
      <c r="DZ53" s="213"/>
      <c r="EA53" s="213"/>
      <c r="EB53" s="213"/>
      <c r="EC53" s="213"/>
      <c r="ED53" s="213"/>
      <c r="EE53" s="213"/>
      <c r="EF53" s="213"/>
      <c r="EG53" s="213"/>
      <c r="EH53" s="213"/>
      <c r="EI53" s="213"/>
      <c r="EJ53" s="213"/>
      <c r="EK53" s="213"/>
      <c r="EL53" s="213"/>
      <c r="EM53" s="213"/>
      <c r="EN53" s="213"/>
      <c r="EO53" s="213"/>
      <c r="EP53" s="213"/>
      <c r="EQ53" s="213"/>
      <c r="ER53" s="213"/>
      <c r="ES53" s="213"/>
      <c r="ET53" s="213"/>
      <c r="EU53" s="213"/>
      <c r="EV53" s="213"/>
      <c r="EW53" s="213"/>
      <c r="EX53" s="213"/>
      <c r="EY53" s="213"/>
      <c r="EZ53" s="213"/>
      <c r="FA53" s="213"/>
      <c r="FB53" s="213"/>
      <c r="FC53" s="213"/>
      <c r="FD53" s="213"/>
      <c r="FE53" s="213"/>
      <c r="FF53" s="213"/>
      <c r="FG53" s="213"/>
      <c r="FH53" s="213"/>
      <c r="FI53" s="213"/>
      <c r="FJ53" s="213"/>
      <c r="FK53" s="213"/>
      <c r="FL53" s="213"/>
      <c r="FM53" s="213"/>
      <c r="FN53" s="213"/>
      <c r="FO53" s="213"/>
      <c r="FP53" s="213"/>
      <c r="FQ53" s="213"/>
      <c r="FR53" s="213"/>
      <c r="FS53" s="213"/>
      <c r="FT53" s="213"/>
      <c r="FU53" s="213"/>
      <c r="FV53" s="213"/>
      <c r="FW53" s="213"/>
      <c r="FX53" s="213"/>
      <c r="FY53" s="213"/>
      <c r="FZ53" s="213"/>
      <c r="GA53" s="213"/>
      <c r="GB53" s="244"/>
      <c r="GC53" s="244"/>
      <c r="GD53" s="244"/>
      <c r="GE53" s="213"/>
      <c r="GF53" s="213"/>
      <c r="GG53" s="213"/>
      <c r="GH53" s="213"/>
      <c r="GI53" s="213"/>
      <c r="GJ53" s="213"/>
      <c r="GK53" s="213"/>
      <c r="GL53" s="213"/>
      <c r="GM53" s="213"/>
      <c r="GN53" s="213"/>
      <c r="GO53" s="213"/>
      <c r="GP53" s="213"/>
      <c r="GQ53" s="213"/>
      <c r="GR53" s="213"/>
      <c r="GS53" s="213"/>
      <c r="GT53" s="213"/>
      <c r="GU53" s="213"/>
      <c r="GV53" s="213"/>
      <c r="GW53" s="213"/>
      <c r="GX53" s="213"/>
      <c r="GY53" s="213"/>
      <c r="GZ53" s="213"/>
      <c r="HA53" s="213"/>
      <c r="HB53" s="213"/>
      <c r="HC53" s="244"/>
      <c r="HD53" s="244"/>
      <c r="HE53" s="244"/>
      <c r="HF53" s="213"/>
      <c r="HG53" s="213"/>
      <c r="HH53" s="213"/>
      <c r="HI53" s="213"/>
      <c r="HJ53" s="213"/>
      <c r="HK53" s="213"/>
      <c r="HL53" s="213"/>
      <c r="HM53" s="213"/>
      <c r="HN53" s="213"/>
      <c r="HO53" s="213"/>
      <c r="HP53" s="213"/>
      <c r="HQ53" s="213"/>
      <c r="HR53" s="213"/>
      <c r="HS53" s="213"/>
      <c r="HT53" s="213"/>
      <c r="HU53" s="213"/>
      <c r="HV53" s="213"/>
      <c r="HW53" s="213"/>
      <c r="HX53" s="213"/>
      <c r="HY53" s="213"/>
      <c r="HZ53" s="213"/>
      <c r="IA53" s="213"/>
      <c r="IB53" s="213"/>
      <c r="IC53" s="213"/>
      <c r="ID53" s="213"/>
      <c r="IE53" s="213"/>
      <c r="IF53" s="213"/>
      <c r="IG53" s="213"/>
      <c r="IH53" s="213"/>
      <c r="II53" s="213"/>
      <c r="IJ53" s="213"/>
      <c r="IK53" s="213"/>
      <c r="IL53" s="213"/>
      <c r="IM53" s="213"/>
      <c r="IN53" s="213"/>
      <c r="IO53" s="213"/>
      <c r="IP53" s="213"/>
      <c r="IQ53" s="213"/>
      <c r="IR53" s="213"/>
      <c r="IS53" s="213"/>
      <c r="IT53" s="213"/>
      <c r="IU53" s="213"/>
      <c r="IV53" s="213"/>
      <c r="IW53" s="213"/>
      <c r="IX53" s="213"/>
      <c r="IY53" s="213"/>
      <c r="IZ53" s="213"/>
      <c r="JA53" s="213"/>
      <c r="JB53" s="213"/>
      <c r="JC53" s="213"/>
      <c r="JD53" s="213"/>
      <c r="JE53" s="213"/>
      <c r="JF53" s="213"/>
      <c r="JG53" s="213"/>
      <c r="JH53" s="213"/>
      <c r="JI53" s="213"/>
      <c r="JJ53" s="213"/>
      <c r="JK53" s="213"/>
      <c r="JL53" s="213"/>
      <c r="JM53" s="213"/>
      <c r="JN53" s="213"/>
      <c r="JO53" s="213"/>
      <c r="JP53" s="213"/>
      <c r="JQ53" s="213"/>
      <c r="JR53" s="213"/>
      <c r="JS53" s="213"/>
      <c r="JT53" s="213"/>
      <c r="JU53" s="213"/>
      <c r="JV53" s="213"/>
      <c r="JW53" s="213"/>
      <c r="JX53" s="213"/>
      <c r="JY53" s="244"/>
      <c r="JZ53" s="244"/>
      <c r="KA53" s="244"/>
      <c r="KB53" s="244"/>
      <c r="KC53" s="244"/>
      <c r="KD53" s="244"/>
      <c r="KE53" s="244"/>
      <c r="KF53" s="244"/>
      <c r="KG53" s="244"/>
      <c r="KH53" s="244"/>
      <c r="KI53" s="244"/>
      <c r="KJ53" s="244"/>
      <c r="KK53" s="244"/>
      <c r="KL53" s="244"/>
      <c r="KM53" s="244"/>
      <c r="KN53" s="244"/>
      <c r="KO53" s="244"/>
      <c r="KP53" s="244"/>
      <c r="KQ53" s="244"/>
      <c r="KR53" s="244"/>
      <c r="KS53" s="244"/>
      <c r="KT53" s="244"/>
      <c r="KU53" s="244"/>
      <c r="KV53" s="244"/>
      <c r="KW53" s="213"/>
      <c r="KX53" s="213"/>
      <c r="KY53" s="213"/>
      <c r="KZ53" s="213"/>
      <c r="LA53" s="213"/>
      <c r="LB53" s="213"/>
      <c r="LC53" s="213"/>
      <c r="LD53" s="213"/>
      <c r="LE53" s="213"/>
      <c r="LF53" s="213"/>
      <c r="LG53" s="213"/>
      <c r="LH53" s="213"/>
      <c r="LI53" s="213"/>
      <c r="LJ53" s="213"/>
      <c r="LK53" s="213"/>
      <c r="LL53" s="213"/>
      <c r="LM53" s="213"/>
      <c r="LN53" s="213"/>
      <c r="LO53" s="213"/>
      <c r="LP53" s="213"/>
      <c r="LQ53" s="213"/>
      <c r="LR53" s="213"/>
      <c r="LS53" s="213"/>
      <c r="LT53" s="213"/>
      <c r="LU53" s="213"/>
      <c r="LV53" s="213"/>
      <c r="LW53" s="213"/>
      <c r="LX53" s="213"/>
      <c r="LY53" s="213"/>
      <c r="LZ53" s="213"/>
      <c r="MA53" s="213"/>
      <c r="MB53" s="213"/>
      <c r="MC53" s="213"/>
      <c r="MD53" s="213"/>
      <c r="ME53" s="213"/>
      <c r="MF53" s="213"/>
      <c r="MG53" s="213"/>
      <c r="MH53" s="213" t="e">
        <f>+'3. sz.Városi szintű összesen'!#REF!</f>
        <v>#REF!</v>
      </c>
      <c r="MI53" s="213"/>
      <c r="MJ53" s="213"/>
      <c r="MK53" s="213"/>
      <c r="ML53" s="213"/>
      <c r="MM53" s="213"/>
      <c r="MN53" s="213"/>
      <c r="MO53" s="213"/>
      <c r="MP53" s="213"/>
      <c r="MQ53" s="213"/>
      <c r="MR53" s="213"/>
      <c r="MS53" s="213"/>
      <c r="MT53" s="213"/>
      <c r="MU53" s="213"/>
      <c r="MV53" s="213"/>
      <c r="MW53" s="213"/>
      <c r="MX53" s="213"/>
      <c r="MY53" s="213"/>
      <c r="MZ53" s="213"/>
      <c r="NA53" s="213"/>
      <c r="NB53" s="213"/>
      <c r="NC53" s="213"/>
    </row>
    <row r="54" spans="1:367" x14ac:dyDescent="0.25">
      <c r="A54" s="204"/>
      <c r="D54" s="213">
        <f>+D52-D53</f>
        <v>0</v>
      </c>
      <c r="E54" s="213"/>
      <c r="F54" s="213"/>
      <c r="G54" s="213">
        <f>+G52-G53</f>
        <v>0</v>
      </c>
      <c r="H54" s="213"/>
      <c r="I54" s="213"/>
      <c r="J54" s="213"/>
      <c r="K54" s="213"/>
      <c r="L54" s="213"/>
      <c r="M54" s="213"/>
      <c r="N54" s="213"/>
      <c r="O54" s="213"/>
      <c r="P54" s="213"/>
      <c r="Q54" s="213"/>
      <c r="R54" s="213"/>
      <c r="S54" s="213"/>
      <c r="T54" s="213"/>
      <c r="U54" s="213"/>
      <c r="V54" s="213">
        <f>+V52-V53</f>
        <v>0</v>
      </c>
      <c r="W54" s="213"/>
      <c r="X54" s="213"/>
      <c r="Y54" s="213">
        <f>+Y52-Y53</f>
        <v>0</v>
      </c>
      <c r="Z54" s="213"/>
      <c r="AA54" s="213"/>
      <c r="AB54" s="213">
        <f>+AB52-AB53</f>
        <v>0</v>
      </c>
      <c r="AC54" s="213"/>
      <c r="AD54" s="213"/>
      <c r="AE54" s="213"/>
      <c r="AF54" s="213"/>
      <c r="AG54" s="213"/>
      <c r="AH54" s="213"/>
      <c r="AI54" s="213"/>
      <c r="AJ54" s="213"/>
      <c r="AK54" s="213"/>
      <c r="AL54" s="213"/>
      <c r="AM54" s="213"/>
      <c r="AN54" s="213"/>
      <c r="AO54" s="213"/>
      <c r="AP54" s="213"/>
      <c r="AQ54" s="213"/>
      <c r="AR54" s="213"/>
      <c r="AS54" s="213"/>
      <c r="AT54" s="213"/>
      <c r="AU54" s="213"/>
      <c r="AV54" s="213"/>
      <c r="AW54" s="244"/>
      <c r="AX54" s="244"/>
      <c r="AY54" s="244"/>
      <c r="AZ54" s="213"/>
      <c r="BA54" s="213"/>
      <c r="BB54" s="213"/>
      <c r="BC54" s="213"/>
      <c r="BD54" s="213"/>
      <c r="BE54" s="213"/>
      <c r="BF54" s="213"/>
      <c r="BG54" s="213"/>
      <c r="BH54" s="213"/>
      <c r="BI54" s="213"/>
      <c r="BJ54" s="213"/>
      <c r="BK54" s="213"/>
      <c r="BL54" s="213"/>
      <c r="BM54" s="213"/>
      <c r="BN54" s="213"/>
      <c r="BO54" s="213"/>
      <c r="BP54" s="213"/>
      <c r="BQ54" s="213"/>
      <c r="BR54" s="244"/>
      <c r="BS54" s="244"/>
      <c r="BT54" s="244"/>
      <c r="BU54" s="213"/>
      <c r="BV54" s="213"/>
      <c r="BW54" s="213"/>
      <c r="BX54" s="213"/>
      <c r="BY54" s="213"/>
      <c r="BZ54" s="213"/>
      <c r="CA54" s="213"/>
      <c r="CB54" s="213"/>
      <c r="CC54" s="213"/>
      <c r="CD54" s="213"/>
      <c r="CE54" s="213"/>
      <c r="CF54" s="213"/>
      <c r="CG54" s="213"/>
      <c r="CH54" s="213"/>
      <c r="CI54" s="213"/>
      <c r="CJ54" s="213"/>
      <c r="CK54" s="213"/>
      <c r="CL54" s="213"/>
      <c r="CM54" s="213"/>
      <c r="CN54" s="213"/>
      <c r="CO54" s="213"/>
      <c r="CP54" s="213"/>
      <c r="CQ54" s="213"/>
      <c r="CR54" s="213"/>
      <c r="CS54" s="213"/>
      <c r="CT54" s="213"/>
      <c r="CU54" s="213"/>
      <c r="CV54" s="213"/>
      <c r="CW54" s="213"/>
      <c r="CX54" s="213"/>
      <c r="CY54" s="213"/>
      <c r="CZ54" s="213"/>
      <c r="DA54" s="213"/>
      <c r="DB54" s="213"/>
      <c r="DC54" s="213"/>
      <c r="DD54" s="213"/>
      <c r="DE54" s="213"/>
      <c r="DF54" s="213"/>
      <c r="DG54" s="213"/>
      <c r="DH54" s="213"/>
      <c r="DI54" s="213"/>
      <c r="DJ54" s="213"/>
      <c r="DK54" s="213"/>
      <c r="DL54" s="213"/>
      <c r="DM54" s="213"/>
      <c r="DN54" s="213"/>
      <c r="DO54" s="213"/>
      <c r="DP54" s="213"/>
      <c r="DQ54" s="213"/>
      <c r="DR54" s="213"/>
      <c r="DS54" s="213"/>
      <c r="DT54" s="213"/>
      <c r="DU54" s="213"/>
      <c r="DV54" s="213"/>
      <c r="DW54" s="213"/>
      <c r="DX54" s="213"/>
      <c r="DY54" s="213"/>
      <c r="DZ54" s="213"/>
      <c r="EA54" s="213"/>
      <c r="EB54" s="213"/>
      <c r="EC54" s="213"/>
      <c r="ED54" s="213"/>
      <c r="EE54" s="213"/>
      <c r="EF54" s="213"/>
      <c r="EG54" s="213"/>
      <c r="EH54" s="213"/>
      <c r="EI54" s="213"/>
      <c r="EJ54" s="213"/>
      <c r="EK54" s="213"/>
      <c r="EL54" s="213"/>
      <c r="EM54" s="213"/>
      <c r="EN54" s="213"/>
      <c r="EO54" s="213"/>
      <c r="EP54" s="213"/>
      <c r="EQ54" s="213"/>
      <c r="ER54" s="213"/>
      <c r="ES54" s="213"/>
      <c r="ET54" s="213"/>
      <c r="EU54" s="213"/>
      <c r="EV54" s="213"/>
      <c r="EW54" s="213"/>
      <c r="EX54" s="213"/>
      <c r="EY54" s="213"/>
      <c r="EZ54" s="213"/>
      <c r="FA54" s="213"/>
      <c r="FB54" s="213"/>
      <c r="FC54" s="213"/>
      <c r="FD54" s="213"/>
      <c r="FE54" s="213"/>
      <c r="FF54" s="213"/>
      <c r="FG54" s="213"/>
      <c r="FH54" s="213"/>
      <c r="FI54" s="213"/>
      <c r="FJ54" s="213"/>
      <c r="FK54" s="213"/>
      <c r="FL54" s="213"/>
      <c r="FM54" s="213"/>
      <c r="FN54" s="213"/>
      <c r="FO54" s="213"/>
      <c r="FP54" s="213"/>
      <c r="FQ54" s="213"/>
      <c r="FR54" s="213"/>
      <c r="FS54" s="213"/>
      <c r="FT54" s="213"/>
      <c r="FU54" s="213"/>
      <c r="FV54" s="213"/>
      <c r="FW54" s="213"/>
      <c r="FX54" s="213"/>
      <c r="FY54" s="213"/>
      <c r="FZ54" s="213"/>
      <c r="GA54" s="213"/>
      <c r="GB54" s="244"/>
      <c r="GC54" s="244"/>
      <c r="GD54" s="244"/>
      <c r="GE54" s="213"/>
      <c r="GF54" s="213"/>
      <c r="GG54" s="213"/>
      <c r="GH54" s="213"/>
      <c r="GI54" s="213"/>
      <c r="GJ54" s="213"/>
      <c r="GK54" s="213"/>
      <c r="GL54" s="213"/>
      <c r="GM54" s="213"/>
      <c r="GN54" s="213"/>
      <c r="GO54" s="213"/>
      <c r="GP54" s="213"/>
      <c r="GQ54" s="213"/>
      <c r="GR54" s="213"/>
      <c r="GS54" s="213"/>
      <c r="GT54" s="213"/>
      <c r="GU54" s="213"/>
      <c r="GV54" s="213"/>
      <c r="GW54" s="213"/>
      <c r="GX54" s="213"/>
      <c r="GY54" s="213"/>
      <c r="GZ54" s="213"/>
      <c r="HA54" s="213"/>
      <c r="HB54" s="213"/>
      <c r="HC54" s="244"/>
      <c r="HD54" s="244"/>
      <c r="HE54" s="244"/>
      <c r="HF54" s="213"/>
      <c r="HG54" s="213"/>
      <c r="HH54" s="213"/>
      <c r="HI54" s="213"/>
      <c r="HJ54" s="213"/>
      <c r="HK54" s="213"/>
      <c r="HL54" s="213"/>
      <c r="HM54" s="213"/>
      <c r="HN54" s="213"/>
      <c r="HO54" s="213"/>
      <c r="HP54" s="213"/>
      <c r="HQ54" s="213"/>
      <c r="HR54" s="213"/>
      <c r="HS54" s="213"/>
      <c r="HT54" s="213"/>
      <c r="HU54" s="213"/>
      <c r="HV54" s="213"/>
      <c r="HW54" s="213"/>
      <c r="HX54" s="213"/>
      <c r="HY54" s="213"/>
      <c r="HZ54" s="213"/>
      <c r="IA54" s="213"/>
      <c r="IB54" s="213"/>
      <c r="IC54" s="213"/>
      <c r="ID54" s="213"/>
      <c r="IE54" s="213"/>
      <c r="IF54" s="213"/>
      <c r="IG54" s="213"/>
      <c r="IH54" s="213"/>
      <c r="II54" s="213"/>
      <c r="IJ54" s="213"/>
      <c r="IK54" s="213"/>
      <c r="IL54" s="213"/>
      <c r="IM54" s="213"/>
      <c r="IN54" s="213"/>
      <c r="IO54" s="213"/>
      <c r="IP54" s="213"/>
      <c r="IQ54" s="213"/>
      <c r="IR54" s="213"/>
      <c r="IS54" s="213"/>
      <c r="IT54" s="213"/>
      <c r="IU54" s="213"/>
      <c r="IV54" s="213"/>
      <c r="IW54" s="213"/>
      <c r="IX54" s="213"/>
      <c r="IY54" s="213"/>
      <c r="IZ54" s="213"/>
      <c r="JA54" s="213"/>
      <c r="JB54" s="213"/>
      <c r="JC54" s="213"/>
      <c r="JD54" s="213"/>
      <c r="JE54" s="213"/>
      <c r="JF54" s="213"/>
      <c r="JG54" s="213"/>
      <c r="JH54" s="213"/>
      <c r="JI54" s="213"/>
      <c r="JJ54" s="213"/>
      <c r="JK54" s="213"/>
      <c r="JL54" s="213"/>
      <c r="JM54" s="213"/>
      <c r="JN54" s="213"/>
      <c r="JO54" s="213"/>
      <c r="JP54" s="213"/>
      <c r="JQ54" s="213"/>
      <c r="JR54" s="213"/>
      <c r="JS54" s="213"/>
      <c r="JT54" s="213"/>
      <c r="JU54" s="213"/>
      <c r="JV54" s="213"/>
      <c r="JW54" s="213"/>
      <c r="JX54" s="213"/>
      <c r="JY54" s="244"/>
      <c r="JZ54" s="244"/>
      <c r="KA54" s="244"/>
      <c r="KB54" s="244"/>
      <c r="KC54" s="244"/>
      <c r="KD54" s="244"/>
      <c r="KE54" s="244"/>
      <c r="KF54" s="244"/>
      <c r="KG54" s="244"/>
      <c r="KH54" s="244"/>
      <c r="KI54" s="244"/>
      <c r="KJ54" s="244"/>
      <c r="KK54" s="244"/>
      <c r="KL54" s="244"/>
      <c r="KM54" s="244"/>
      <c r="KN54" s="244"/>
      <c r="KO54" s="244"/>
      <c r="KP54" s="244"/>
      <c r="KQ54" s="244"/>
      <c r="KR54" s="244"/>
      <c r="KS54" s="244"/>
      <c r="KT54" s="244"/>
      <c r="KU54" s="244"/>
      <c r="KV54" s="244"/>
      <c r="KW54" s="213"/>
      <c r="KX54" s="213"/>
      <c r="KY54" s="213"/>
      <c r="KZ54" s="213"/>
      <c r="LA54" s="213"/>
      <c r="LB54" s="213"/>
      <c r="LC54" s="213"/>
      <c r="LD54" s="213"/>
      <c r="LE54" s="213"/>
      <c r="LF54" s="213"/>
      <c r="LG54" s="213"/>
      <c r="LH54" s="213"/>
      <c r="LI54" s="213"/>
      <c r="LJ54" s="213"/>
      <c r="LK54" s="213"/>
      <c r="LL54" s="213"/>
      <c r="LM54" s="213"/>
      <c r="LN54" s="213"/>
      <c r="LO54" s="213"/>
      <c r="LP54" s="213"/>
      <c r="LQ54" s="213"/>
      <c r="LR54" s="213"/>
      <c r="LS54" s="213"/>
      <c r="LT54" s="213"/>
      <c r="LU54" s="213"/>
      <c r="LV54" s="213"/>
      <c r="LW54" s="213"/>
      <c r="LX54" s="213"/>
      <c r="LY54" s="213"/>
      <c r="LZ54" s="213"/>
      <c r="MA54" s="213"/>
      <c r="MB54" s="213"/>
      <c r="MC54" s="213"/>
      <c r="MD54" s="213"/>
      <c r="ME54" s="213"/>
      <c r="MF54" s="213"/>
      <c r="MG54" s="213"/>
      <c r="MH54" s="227"/>
      <c r="MI54" s="227"/>
      <c r="MJ54" s="227"/>
      <c r="MK54" s="227"/>
      <c r="ML54" s="227"/>
      <c r="MM54" s="227"/>
      <c r="MN54" s="227"/>
      <c r="MO54" s="227"/>
      <c r="MP54" s="227"/>
      <c r="MQ54" s="227"/>
      <c r="MR54" s="227"/>
      <c r="MS54" s="227"/>
      <c r="MT54" s="227"/>
      <c r="MU54" s="227"/>
      <c r="MV54" s="227"/>
      <c r="MW54" s="227"/>
      <c r="MX54" s="227"/>
      <c r="MY54" s="227"/>
      <c r="MZ54" s="227"/>
      <c r="NA54" s="227"/>
      <c r="NB54" s="227"/>
      <c r="NC54" s="227"/>
    </row>
    <row r="55" spans="1:367" x14ac:dyDescent="0.25">
      <c r="A55" s="204"/>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44"/>
      <c r="AX55" s="244"/>
      <c r="AY55" s="244"/>
      <c r="AZ55" s="213"/>
      <c r="BA55" s="213"/>
      <c r="BB55" s="213"/>
      <c r="BC55" s="213"/>
      <c r="BD55" s="213"/>
      <c r="BE55" s="213"/>
      <c r="BF55" s="213"/>
      <c r="BG55" s="213"/>
      <c r="BH55" s="213"/>
      <c r="BI55" s="213"/>
      <c r="BJ55" s="213"/>
      <c r="BK55" s="213"/>
      <c r="BL55" s="213"/>
      <c r="BM55" s="213"/>
      <c r="BN55" s="213"/>
      <c r="BO55" s="213"/>
      <c r="BP55" s="213"/>
      <c r="BQ55" s="213"/>
      <c r="BR55" s="244"/>
      <c r="BS55" s="244"/>
      <c r="BT55" s="244"/>
      <c r="BU55" s="213"/>
      <c r="BV55" s="213"/>
      <c r="BW55" s="213"/>
      <c r="BX55" s="213"/>
      <c r="BY55" s="213"/>
      <c r="BZ55" s="213"/>
      <c r="CA55" s="213"/>
      <c r="CB55" s="213"/>
      <c r="CC55" s="213"/>
      <c r="CD55" s="213"/>
      <c r="CE55" s="213"/>
      <c r="CF55" s="213"/>
      <c r="CG55" s="213"/>
      <c r="CH55" s="213"/>
      <c r="CI55" s="213"/>
      <c r="CJ55" s="213"/>
      <c r="CK55" s="213"/>
      <c r="CL55" s="213"/>
      <c r="CM55" s="213"/>
      <c r="CN55" s="213"/>
      <c r="CO55" s="213"/>
      <c r="CP55" s="213"/>
      <c r="CQ55" s="213"/>
      <c r="CR55" s="213"/>
      <c r="CS55" s="213"/>
      <c r="CT55" s="213"/>
      <c r="CU55" s="213"/>
      <c r="CV55" s="213"/>
      <c r="CW55" s="213"/>
      <c r="CX55" s="213"/>
      <c r="CY55" s="213"/>
      <c r="CZ55" s="213"/>
      <c r="DA55" s="213"/>
      <c r="DB55" s="213"/>
      <c r="DC55" s="213"/>
      <c r="DD55" s="213"/>
      <c r="DE55" s="213"/>
      <c r="DF55" s="213"/>
      <c r="DG55" s="213"/>
      <c r="DH55" s="213"/>
      <c r="DI55" s="213"/>
      <c r="DJ55" s="213"/>
      <c r="DK55" s="213"/>
      <c r="DL55" s="213"/>
      <c r="DM55" s="213"/>
      <c r="DN55" s="213"/>
      <c r="DO55" s="213"/>
      <c r="DP55" s="213"/>
      <c r="DQ55" s="213"/>
      <c r="DR55" s="213"/>
      <c r="DS55" s="213"/>
      <c r="DT55" s="213"/>
      <c r="DU55" s="213"/>
      <c r="DV55" s="213"/>
      <c r="DW55" s="213"/>
      <c r="DX55" s="213"/>
      <c r="DY55" s="213"/>
      <c r="DZ55" s="213"/>
      <c r="EA55" s="213"/>
      <c r="EB55" s="213"/>
      <c r="EC55" s="213"/>
      <c r="ED55" s="213"/>
      <c r="EE55" s="213"/>
      <c r="EF55" s="213"/>
      <c r="EG55" s="213"/>
      <c r="EH55" s="213"/>
      <c r="EI55" s="213"/>
      <c r="EJ55" s="213"/>
      <c r="EK55" s="213"/>
      <c r="EL55" s="213"/>
      <c r="EM55" s="213"/>
      <c r="EN55" s="213"/>
      <c r="EO55" s="213"/>
      <c r="EP55" s="213"/>
      <c r="EQ55" s="213"/>
      <c r="ER55" s="213"/>
      <c r="ES55" s="213"/>
      <c r="ET55" s="213"/>
      <c r="EU55" s="213"/>
      <c r="EV55" s="213"/>
      <c r="EW55" s="213"/>
      <c r="EX55" s="213"/>
      <c r="EY55" s="213"/>
      <c r="EZ55" s="213"/>
      <c r="FA55" s="213"/>
      <c r="FB55" s="213"/>
      <c r="FC55" s="213"/>
      <c r="FD55" s="213"/>
      <c r="FE55" s="213"/>
      <c r="FF55" s="213"/>
      <c r="FG55" s="213"/>
      <c r="FH55" s="213"/>
      <c r="FI55" s="213"/>
      <c r="FJ55" s="213"/>
      <c r="FK55" s="213"/>
      <c r="FL55" s="213"/>
      <c r="FM55" s="213"/>
      <c r="FN55" s="213"/>
      <c r="FO55" s="213"/>
      <c r="FP55" s="213"/>
      <c r="FQ55" s="213"/>
      <c r="FR55" s="213"/>
      <c r="FS55" s="213"/>
      <c r="FT55" s="213"/>
      <c r="FU55" s="213"/>
      <c r="FV55" s="213"/>
      <c r="FW55" s="213"/>
      <c r="FX55" s="213"/>
      <c r="FY55" s="213"/>
      <c r="FZ55" s="213"/>
      <c r="GA55" s="213"/>
      <c r="GB55" s="244"/>
      <c r="GC55" s="244"/>
      <c r="GD55" s="244"/>
      <c r="GE55" s="213"/>
      <c r="GF55" s="213"/>
      <c r="GG55" s="213"/>
      <c r="GH55" s="213"/>
      <c r="GI55" s="213"/>
      <c r="GJ55" s="213"/>
      <c r="GK55" s="213"/>
      <c r="GL55" s="213"/>
      <c r="GM55" s="213"/>
      <c r="GN55" s="213"/>
      <c r="GO55" s="213"/>
      <c r="GP55" s="213"/>
      <c r="GQ55" s="213"/>
      <c r="GR55" s="213"/>
      <c r="GS55" s="213"/>
      <c r="GT55" s="213"/>
      <c r="GU55" s="213"/>
      <c r="GV55" s="213"/>
      <c r="GW55" s="213"/>
      <c r="GX55" s="213"/>
      <c r="GY55" s="213"/>
      <c r="GZ55" s="213"/>
      <c r="HA55" s="213"/>
      <c r="HB55" s="213"/>
      <c r="HC55" s="244"/>
      <c r="HD55" s="244"/>
      <c r="HE55" s="244"/>
      <c r="HF55" s="213"/>
      <c r="HG55" s="213"/>
      <c r="HH55" s="213"/>
      <c r="HI55" s="213"/>
      <c r="HJ55" s="213"/>
      <c r="HK55" s="213"/>
      <c r="HL55" s="213"/>
      <c r="HM55" s="213"/>
      <c r="HN55" s="213"/>
      <c r="HO55" s="213"/>
      <c r="HP55" s="213"/>
      <c r="HQ55" s="213"/>
      <c r="HR55" s="213"/>
      <c r="HS55" s="213"/>
      <c r="HT55" s="213"/>
      <c r="HU55" s="213"/>
      <c r="HV55" s="213"/>
      <c r="HW55" s="213"/>
      <c r="HX55" s="213"/>
      <c r="HY55" s="213"/>
      <c r="HZ55" s="213"/>
      <c r="IA55" s="213"/>
      <c r="IB55" s="213"/>
      <c r="IC55" s="213"/>
      <c r="ID55" s="213"/>
      <c r="IE55" s="213"/>
      <c r="IF55" s="213"/>
      <c r="IG55" s="213"/>
      <c r="IH55" s="213"/>
      <c r="II55" s="213"/>
      <c r="IJ55" s="213"/>
      <c r="IK55" s="213"/>
      <c r="IL55" s="213"/>
      <c r="IM55" s="213"/>
      <c r="IN55" s="213"/>
      <c r="IO55" s="213"/>
      <c r="IP55" s="213"/>
      <c r="IQ55" s="213"/>
      <c r="IR55" s="213"/>
      <c r="IS55" s="213"/>
      <c r="IT55" s="213"/>
      <c r="IU55" s="213"/>
      <c r="IV55" s="213"/>
      <c r="IW55" s="213"/>
      <c r="IX55" s="213"/>
      <c r="IY55" s="213"/>
      <c r="IZ55" s="213"/>
      <c r="JA55" s="213"/>
      <c r="JB55" s="213"/>
      <c r="JC55" s="213"/>
      <c r="JD55" s="213"/>
      <c r="JE55" s="213"/>
      <c r="JF55" s="213"/>
      <c r="JG55" s="213"/>
      <c r="JH55" s="213"/>
      <c r="JI55" s="213"/>
      <c r="JJ55" s="213"/>
      <c r="JK55" s="213"/>
      <c r="JL55" s="213"/>
      <c r="JM55" s="213"/>
      <c r="JN55" s="213"/>
      <c r="JO55" s="213"/>
      <c r="JP55" s="213"/>
      <c r="JQ55" s="213"/>
      <c r="JR55" s="213"/>
      <c r="JS55" s="213"/>
      <c r="JT55" s="213"/>
      <c r="JU55" s="213"/>
      <c r="JV55" s="213"/>
      <c r="JW55" s="213"/>
      <c r="JX55" s="213"/>
      <c r="JY55" s="244"/>
      <c r="JZ55" s="244"/>
      <c r="KA55" s="244"/>
      <c r="KB55" s="244"/>
      <c r="KC55" s="244"/>
      <c r="KD55" s="244"/>
      <c r="KE55" s="244"/>
      <c r="KF55" s="244"/>
      <c r="KG55" s="244"/>
      <c r="KH55" s="244"/>
      <c r="KI55" s="244"/>
      <c r="KJ55" s="244"/>
      <c r="KK55" s="244"/>
      <c r="KL55" s="244"/>
      <c r="KM55" s="244"/>
      <c r="KN55" s="244"/>
      <c r="KO55" s="244"/>
      <c r="KP55" s="244"/>
      <c r="KQ55" s="244"/>
      <c r="KR55" s="244"/>
      <c r="KS55" s="244"/>
      <c r="KT55" s="244"/>
      <c r="KU55" s="244"/>
      <c r="KV55" s="244"/>
      <c r="KW55" s="213"/>
      <c r="KX55" s="213"/>
      <c r="KY55" s="213"/>
      <c r="KZ55" s="213"/>
      <c r="LA55" s="213"/>
      <c r="LB55" s="213"/>
      <c r="LC55" s="213"/>
      <c r="LD55" s="213"/>
      <c r="LE55" s="213"/>
      <c r="LF55" s="213"/>
      <c r="LG55" s="213"/>
      <c r="LH55" s="213"/>
      <c r="LI55" s="213"/>
      <c r="LJ55" s="213"/>
      <c r="LK55" s="213"/>
      <c r="LL55" s="213"/>
      <c r="LM55" s="213"/>
      <c r="LN55" s="213"/>
      <c r="LO55" s="213"/>
      <c r="LP55" s="213"/>
      <c r="LQ55" s="213"/>
      <c r="LR55" s="213"/>
      <c r="LS55" s="213"/>
      <c r="LT55" s="213"/>
      <c r="LU55" s="213"/>
      <c r="LV55" s="213"/>
      <c r="LW55" s="213"/>
      <c r="LX55" s="213"/>
      <c r="LY55" s="213"/>
      <c r="LZ55" s="213"/>
      <c r="MA55" s="213"/>
      <c r="MB55" s="213"/>
      <c r="MC55" s="213"/>
      <c r="MD55" s="213"/>
      <c r="ME55" s="213"/>
      <c r="MF55" s="213"/>
      <c r="MG55" s="213"/>
    </row>
    <row r="56" spans="1:367" x14ac:dyDescent="0.25">
      <c r="A56" s="204"/>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44"/>
      <c r="AX56" s="244"/>
      <c r="AY56" s="244"/>
      <c r="AZ56" s="213"/>
      <c r="BA56" s="213"/>
      <c r="BB56" s="213"/>
      <c r="BC56" s="213"/>
      <c r="BD56" s="213"/>
      <c r="BE56" s="213"/>
      <c r="BF56" s="213"/>
      <c r="BG56" s="213"/>
      <c r="BH56" s="213"/>
      <c r="BI56" s="213"/>
      <c r="BJ56" s="213"/>
      <c r="BK56" s="213"/>
      <c r="BL56" s="213"/>
      <c r="BM56" s="213"/>
      <c r="BN56" s="213"/>
      <c r="BO56" s="213"/>
      <c r="BP56" s="213"/>
      <c r="BQ56" s="213"/>
      <c r="BR56" s="244"/>
      <c r="BS56" s="244"/>
      <c r="BT56" s="244"/>
      <c r="BU56" s="213"/>
      <c r="BV56" s="213"/>
      <c r="BW56" s="213"/>
      <c r="BX56" s="213"/>
      <c r="BY56" s="213"/>
      <c r="BZ56" s="213"/>
      <c r="CA56" s="213"/>
      <c r="CB56" s="213"/>
      <c r="CC56" s="213"/>
      <c r="CD56" s="213"/>
      <c r="CE56" s="213"/>
      <c r="CF56" s="213"/>
      <c r="CG56" s="213"/>
      <c r="CH56" s="213"/>
      <c r="CI56" s="213"/>
      <c r="CJ56" s="213"/>
      <c r="CK56" s="213"/>
      <c r="CL56" s="213"/>
      <c r="CM56" s="213"/>
      <c r="CN56" s="213"/>
      <c r="CO56" s="213"/>
      <c r="CP56" s="213"/>
      <c r="CQ56" s="213"/>
      <c r="CR56" s="213"/>
      <c r="CS56" s="213"/>
      <c r="CT56" s="213"/>
      <c r="CU56" s="213"/>
      <c r="CV56" s="213"/>
      <c r="CW56" s="213"/>
      <c r="CX56" s="213"/>
      <c r="CY56" s="213"/>
      <c r="CZ56" s="213"/>
      <c r="DA56" s="213"/>
      <c r="DB56" s="213"/>
      <c r="DC56" s="213"/>
      <c r="DD56" s="213"/>
      <c r="DE56" s="213"/>
      <c r="DF56" s="213"/>
      <c r="DG56" s="213"/>
      <c r="DH56" s="213"/>
      <c r="DI56" s="213"/>
      <c r="DJ56" s="213"/>
      <c r="DK56" s="213"/>
      <c r="DL56" s="213"/>
      <c r="DM56" s="213"/>
      <c r="DN56" s="213"/>
      <c r="DO56" s="213"/>
      <c r="DP56" s="213"/>
      <c r="DQ56" s="213"/>
      <c r="DR56" s="213"/>
      <c r="DS56" s="213"/>
      <c r="DT56" s="213"/>
      <c r="DU56" s="213"/>
      <c r="DV56" s="213"/>
      <c r="DW56" s="213"/>
      <c r="DX56" s="213"/>
      <c r="DY56" s="213"/>
      <c r="DZ56" s="213"/>
      <c r="EA56" s="213"/>
      <c r="EB56" s="213"/>
      <c r="EC56" s="213"/>
      <c r="ED56" s="213"/>
      <c r="EE56" s="213"/>
      <c r="EF56" s="213"/>
      <c r="EG56" s="213"/>
      <c r="EH56" s="213"/>
      <c r="EI56" s="213"/>
      <c r="EJ56" s="213"/>
      <c r="EK56" s="213"/>
      <c r="EL56" s="213"/>
      <c r="EM56" s="213"/>
      <c r="EN56" s="213"/>
      <c r="EO56" s="213"/>
      <c r="EP56" s="213"/>
      <c r="EQ56" s="213"/>
      <c r="ER56" s="213"/>
      <c r="ES56" s="213"/>
      <c r="ET56" s="213"/>
      <c r="EU56" s="213"/>
      <c r="EV56" s="213"/>
      <c r="EW56" s="213"/>
      <c r="EX56" s="213"/>
      <c r="EY56" s="213"/>
      <c r="EZ56" s="213"/>
      <c r="FA56" s="213"/>
      <c r="FB56" s="213"/>
      <c r="FC56" s="213"/>
      <c r="FD56" s="213"/>
      <c r="FE56" s="213"/>
      <c r="FF56" s="213"/>
      <c r="FG56" s="213"/>
      <c r="FH56" s="213"/>
      <c r="FI56" s="213"/>
      <c r="FJ56" s="213"/>
      <c r="FK56" s="213"/>
      <c r="FL56" s="213"/>
      <c r="FM56" s="213"/>
      <c r="FN56" s="213"/>
      <c r="FO56" s="213"/>
      <c r="FP56" s="213"/>
      <c r="FQ56" s="213"/>
      <c r="FR56" s="213"/>
      <c r="FS56" s="213"/>
      <c r="FT56" s="213"/>
      <c r="FU56" s="213"/>
      <c r="FV56" s="213"/>
      <c r="FW56" s="213"/>
      <c r="FX56" s="213"/>
      <c r="FY56" s="213"/>
      <c r="FZ56" s="213"/>
      <c r="GA56" s="213"/>
      <c r="GB56" s="244"/>
      <c r="GC56" s="244"/>
      <c r="GD56" s="244"/>
      <c r="GE56" s="213"/>
      <c r="GF56" s="213"/>
      <c r="GG56" s="213"/>
      <c r="GH56" s="213"/>
      <c r="GI56" s="213"/>
      <c r="GJ56" s="213"/>
      <c r="GK56" s="213"/>
      <c r="GL56" s="213"/>
      <c r="GM56" s="213"/>
      <c r="GN56" s="213"/>
      <c r="GO56" s="213"/>
      <c r="GP56" s="213"/>
      <c r="GQ56" s="213"/>
      <c r="GR56" s="213"/>
      <c r="GS56" s="213"/>
      <c r="GT56" s="213"/>
      <c r="GU56" s="213"/>
      <c r="GV56" s="213"/>
      <c r="GW56" s="213"/>
      <c r="GX56" s="213"/>
      <c r="GY56" s="213"/>
      <c r="GZ56" s="213"/>
      <c r="HA56" s="213"/>
      <c r="HB56" s="213"/>
      <c r="HC56" s="244"/>
      <c r="HD56" s="244"/>
      <c r="HE56" s="244"/>
      <c r="HF56" s="213"/>
      <c r="HG56" s="213"/>
      <c r="HH56" s="213"/>
      <c r="HI56" s="213"/>
      <c r="HJ56" s="213"/>
      <c r="HK56" s="213"/>
      <c r="HL56" s="213"/>
      <c r="HM56" s="213"/>
      <c r="HN56" s="213"/>
      <c r="HO56" s="213"/>
      <c r="HP56" s="213"/>
      <c r="HQ56" s="213"/>
      <c r="HR56" s="213"/>
      <c r="HS56" s="213"/>
      <c r="HT56" s="213"/>
      <c r="HU56" s="213"/>
      <c r="HV56" s="213"/>
      <c r="HW56" s="213"/>
      <c r="HX56" s="213"/>
      <c r="HY56" s="213"/>
      <c r="HZ56" s="213"/>
      <c r="IA56" s="213"/>
      <c r="IB56" s="213"/>
      <c r="IC56" s="213"/>
      <c r="ID56" s="213"/>
      <c r="IE56" s="213"/>
      <c r="IF56" s="213"/>
      <c r="IG56" s="213"/>
      <c r="IH56" s="213"/>
      <c r="II56" s="213"/>
      <c r="IJ56" s="213"/>
      <c r="IK56" s="213"/>
      <c r="IL56" s="213"/>
      <c r="IM56" s="213"/>
      <c r="IN56" s="213"/>
      <c r="IO56" s="213"/>
      <c r="IP56" s="213"/>
      <c r="IQ56" s="213"/>
      <c r="IR56" s="213"/>
      <c r="IS56" s="213"/>
      <c r="IT56" s="213"/>
      <c r="IU56" s="213"/>
      <c r="IV56" s="213"/>
      <c r="IW56" s="213"/>
      <c r="IX56" s="213"/>
      <c r="IY56" s="213"/>
      <c r="IZ56" s="213"/>
      <c r="JA56" s="213"/>
      <c r="JB56" s="213"/>
      <c r="JC56" s="213"/>
      <c r="JD56" s="213"/>
      <c r="JE56" s="213"/>
      <c r="JF56" s="213"/>
      <c r="JG56" s="213"/>
      <c r="JH56" s="213"/>
      <c r="JI56" s="213"/>
      <c r="JJ56" s="213"/>
      <c r="JK56" s="213"/>
      <c r="JL56" s="213"/>
      <c r="JM56" s="213"/>
      <c r="JN56" s="213"/>
      <c r="JO56" s="213"/>
      <c r="JP56" s="213"/>
      <c r="JQ56" s="213"/>
      <c r="JR56" s="213"/>
      <c r="JS56" s="213"/>
      <c r="JT56" s="213"/>
      <c r="JU56" s="213"/>
      <c r="JV56" s="213"/>
      <c r="JW56" s="213"/>
      <c r="JX56" s="213"/>
      <c r="JY56" s="244"/>
      <c r="JZ56" s="244"/>
      <c r="KA56" s="244"/>
      <c r="KB56" s="244"/>
      <c r="KC56" s="244"/>
      <c r="KD56" s="244"/>
      <c r="KE56" s="244"/>
      <c r="KF56" s="244"/>
      <c r="KG56" s="244"/>
      <c r="KH56" s="244"/>
      <c r="KI56" s="244"/>
      <c r="KJ56" s="244"/>
      <c r="KK56" s="244"/>
      <c r="KL56" s="244"/>
      <c r="KM56" s="244"/>
      <c r="KN56" s="244"/>
      <c r="KO56" s="244"/>
      <c r="KP56" s="244"/>
      <c r="KQ56" s="244"/>
      <c r="KR56" s="244"/>
      <c r="KS56" s="244"/>
      <c r="KT56" s="244"/>
      <c r="KU56" s="244"/>
      <c r="KV56" s="244"/>
      <c r="KW56" s="213"/>
      <c r="KX56" s="213"/>
      <c r="KY56" s="213"/>
      <c r="KZ56" s="213"/>
      <c r="LA56" s="213"/>
      <c r="LB56" s="213"/>
      <c r="LC56" s="213"/>
      <c r="LD56" s="213"/>
      <c r="LE56" s="213"/>
      <c r="LF56" s="213"/>
      <c r="LG56" s="213"/>
      <c r="LH56" s="213"/>
      <c r="LI56" s="213"/>
      <c r="LJ56" s="213"/>
      <c r="LK56" s="213"/>
      <c r="LL56" s="213"/>
      <c r="LM56" s="213"/>
      <c r="LN56" s="213"/>
      <c r="LO56" s="213"/>
      <c r="LP56" s="213"/>
      <c r="LQ56" s="213"/>
      <c r="LR56" s="213"/>
      <c r="LS56" s="213"/>
      <c r="LT56" s="213"/>
      <c r="LU56" s="213"/>
      <c r="LV56" s="213"/>
      <c r="LW56" s="213"/>
      <c r="LX56" s="213"/>
      <c r="LY56" s="213"/>
      <c r="LZ56" s="213"/>
      <c r="MA56" s="213"/>
      <c r="MB56" s="213"/>
      <c r="MC56" s="213"/>
      <c r="MD56" s="213"/>
      <c r="ME56" s="213"/>
      <c r="MF56" s="213"/>
      <c r="MG56" s="213"/>
    </row>
    <row r="57" spans="1:367" x14ac:dyDescent="0.25">
      <c r="F57" s="213">
        <f>+F20-F18-F17-F16-F12-F11-F10-F9-F8</f>
        <v>0</v>
      </c>
      <c r="G57" s="213">
        <f t="shared" ref="G57:BR57" si="66">+G20-G18-G17-G16-G12-G11-G10-G9-G8</f>
        <v>0</v>
      </c>
      <c r="H57" s="213">
        <f t="shared" si="66"/>
        <v>0</v>
      </c>
      <c r="I57" s="213">
        <f t="shared" si="66"/>
        <v>0</v>
      </c>
      <c r="J57" s="213">
        <f t="shared" si="66"/>
        <v>0</v>
      </c>
      <c r="K57" s="213">
        <f t="shared" si="66"/>
        <v>0</v>
      </c>
      <c r="L57" s="213">
        <f t="shared" si="66"/>
        <v>0</v>
      </c>
      <c r="M57" s="213">
        <f t="shared" si="66"/>
        <v>0</v>
      </c>
      <c r="N57" s="213">
        <f t="shared" si="66"/>
        <v>0</v>
      </c>
      <c r="O57" s="213">
        <f t="shared" si="66"/>
        <v>0</v>
      </c>
      <c r="P57" s="213">
        <f t="shared" si="66"/>
        <v>0</v>
      </c>
      <c r="Q57" s="213">
        <f t="shared" si="66"/>
        <v>0</v>
      </c>
      <c r="R57" s="213">
        <f t="shared" si="66"/>
        <v>0</v>
      </c>
      <c r="S57" s="213">
        <f t="shared" si="66"/>
        <v>0</v>
      </c>
      <c r="T57" s="213">
        <f t="shared" si="66"/>
        <v>0</v>
      </c>
      <c r="U57" s="213">
        <f t="shared" si="66"/>
        <v>0</v>
      </c>
      <c r="V57" s="213">
        <f t="shared" si="66"/>
        <v>0</v>
      </c>
      <c r="W57" s="213">
        <f t="shared" si="66"/>
        <v>0</v>
      </c>
      <c r="X57" s="213">
        <f t="shared" si="66"/>
        <v>0</v>
      </c>
      <c r="Y57" s="213">
        <f t="shared" si="66"/>
        <v>0</v>
      </c>
      <c r="Z57" s="213">
        <f t="shared" si="66"/>
        <v>0</v>
      </c>
      <c r="AA57" s="213">
        <f t="shared" si="66"/>
        <v>0</v>
      </c>
      <c r="AB57" s="213">
        <f t="shared" si="66"/>
        <v>0</v>
      </c>
      <c r="AC57" s="213">
        <f t="shared" si="66"/>
        <v>0</v>
      </c>
      <c r="AD57" s="213">
        <f t="shared" si="66"/>
        <v>0</v>
      </c>
      <c r="AE57" s="213">
        <f t="shared" si="66"/>
        <v>0</v>
      </c>
      <c r="AF57" s="213">
        <f t="shared" si="66"/>
        <v>0</v>
      </c>
      <c r="AG57" s="213">
        <f t="shared" si="66"/>
        <v>0</v>
      </c>
      <c r="AH57" s="213">
        <f t="shared" si="66"/>
        <v>0</v>
      </c>
      <c r="AI57" s="213">
        <f t="shared" si="66"/>
        <v>0</v>
      </c>
      <c r="AJ57" s="213">
        <f t="shared" si="66"/>
        <v>0</v>
      </c>
      <c r="AK57" s="213">
        <f t="shared" si="66"/>
        <v>0</v>
      </c>
      <c r="AL57" s="213">
        <f t="shared" si="66"/>
        <v>0</v>
      </c>
      <c r="AM57" s="213">
        <f t="shared" si="66"/>
        <v>0</v>
      </c>
      <c r="AN57" s="213">
        <f t="shared" si="66"/>
        <v>0</v>
      </c>
      <c r="AO57" s="213">
        <f t="shared" si="66"/>
        <v>0</v>
      </c>
      <c r="AP57" s="213">
        <f t="shared" si="66"/>
        <v>0</v>
      </c>
      <c r="AQ57" s="213">
        <f t="shared" si="66"/>
        <v>0</v>
      </c>
      <c r="AR57" s="213">
        <f t="shared" si="66"/>
        <v>0</v>
      </c>
      <c r="AS57" s="213">
        <f t="shared" si="66"/>
        <v>0</v>
      </c>
      <c r="AT57" s="213">
        <f t="shared" si="66"/>
        <v>0</v>
      </c>
      <c r="AU57" s="213">
        <f t="shared" si="66"/>
        <v>0</v>
      </c>
      <c r="AV57" s="213">
        <f t="shared" si="66"/>
        <v>0</v>
      </c>
      <c r="AW57" s="213">
        <f t="shared" si="66"/>
        <v>0</v>
      </c>
      <c r="AX57" s="213">
        <f t="shared" si="66"/>
        <v>0</v>
      </c>
      <c r="AY57" s="213">
        <f t="shared" si="66"/>
        <v>0</v>
      </c>
      <c r="AZ57" s="213">
        <f t="shared" si="66"/>
        <v>0</v>
      </c>
      <c r="BA57" s="213">
        <f t="shared" si="66"/>
        <v>0</v>
      </c>
      <c r="BB57" s="213">
        <f t="shared" si="66"/>
        <v>0</v>
      </c>
      <c r="BC57" s="213">
        <f t="shared" si="66"/>
        <v>0</v>
      </c>
      <c r="BD57" s="213">
        <f t="shared" si="66"/>
        <v>0</v>
      </c>
      <c r="BE57" s="213">
        <f t="shared" si="66"/>
        <v>0</v>
      </c>
      <c r="BF57" s="213">
        <f t="shared" si="66"/>
        <v>0</v>
      </c>
      <c r="BG57" s="213">
        <f t="shared" si="66"/>
        <v>0</v>
      </c>
      <c r="BH57" s="213">
        <f t="shared" si="66"/>
        <v>0</v>
      </c>
      <c r="BI57" s="213">
        <f t="shared" si="66"/>
        <v>0</v>
      </c>
      <c r="BJ57" s="213">
        <f t="shared" si="66"/>
        <v>0</v>
      </c>
      <c r="BK57" s="213">
        <f t="shared" si="66"/>
        <v>0</v>
      </c>
      <c r="BL57" s="213">
        <f t="shared" si="66"/>
        <v>0</v>
      </c>
      <c r="BM57" s="213">
        <f t="shared" si="66"/>
        <v>0</v>
      </c>
      <c r="BN57" s="213">
        <f t="shared" si="66"/>
        <v>0</v>
      </c>
      <c r="BO57" s="213">
        <f t="shared" si="66"/>
        <v>0</v>
      </c>
      <c r="BP57" s="213">
        <f t="shared" si="66"/>
        <v>0</v>
      </c>
      <c r="BQ57" s="213">
        <f t="shared" si="66"/>
        <v>0</v>
      </c>
      <c r="BR57" s="213">
        <f t="shared" si="66"/>
        <v>0</v>
      </c>
      <c r="BS57" s="213">
        <f t="shared" ref="BS57:ED57" si="67">+BS20-BS18-BS17-BS16-BS12-BS11-BS10-BS9-BS8</f>
        <v>0</v>
      </c>
      <c r="BT57" s="213">
        <f t="shared" si="67"/>
        <v>0</v>
      </c>
      <c r="BU57" s="213">
        <f t="shared" si="67"/>
        <v>0</v>
      </c>
      <c r="BV57" s="213">
        <f t="shared" si="67"/>
        <v>0</v>
      </c>
      <c r="BW57" s="213">
        <f t="shared" si="67"/>
        <v>0</v>
      </c>
      <c r="BX57" s="213">
        <f t="shared" si="67"/>
        <v>0</v>
      </c>
      <c r="BY57" s="213">
        <f t="shared" si="67"/>
        <v>0</v>
      </c>
      <c r="BZ57" s="213">
        <f t="shared" si="67"/>
        <v>0</v>
      </c>
      <c r="CA57" s="213">
        <f t="shared" si="67"/>
        <v>0</v>
      </c>
      <c r="CB57" s="213">
        <f t="shared" si="67"/>
        <v>0</v>
      </c>
      <c r="CC57" s="213">
        <f t="shared" si="67"/>
        <v>0</v>
      </c>
      <c r="CD57" s="213">
        <f t="shared" si="67"/>
        <v>0</v>
      </c>
      <c r="CE57" s="213">
        <f t="shared" si="67"/>
        <v>0</v>
      </c>
      <c r="CF57" s="213">
        <f t="shared" si="67"/>
        <v>0</v>
      </c>
      <c r="CG57" s="213">
        <f t="shared" si="67"/>
        <v>0</v>
      </c>
      <c r="CH57" s="213">
        <f t="shared" si="67"/>
        <v>0</v>
      </c>
      <c r="CI57" s="213">
        <f t="shared" si="67"/>
        <v>0</v>
      </c>
      <c r="CJ57" s="213">
        <f t="shared" si="67"/>
        <v>0</v>
      </c>
      <c r="CK57" s="213">
        <f t="shared" si="67"/>
        <v>0</v>
      </c>
      <c r="CL57" s="213">
        <f t="shared" si="67"/>
        <v>0</v>
      </c>
      <c r="CM57" s="213">
        <f t="shared" si="67"/>
        <v>0</v>
      </c>
      <c r="CN57" s="213">
        <f t="shared" si="67"/>
        <v>0</v>
      </c>
      <c r="CO57" s="213">
        <f t="shared" si="67"/>
        <v>0</v>
      </c>
      <c r="CP57" s="213">
        <f t="shared" si="67"/>
        <v>0</v>
      </c>
      <c r="CQ57" s="213">
        <f t="shared" si="67"/>
        <v>0</v>
      </c>
      <c r="CR57" s="213">
        <f t="shared" si="67"/>
        <v>0</v>
      </c>
      <c r="CS57" s="213">
        <f t="shared" si="67"/>
        <v>0</v>
      </c>
      <c r="CT57" s="213">
        <f t="shared" si="67"/>
        <v>0</v>
      </c>
      <c r="CU57" s="213">
        <f t="shared" si="67"/>
        <v>0</v>
      </c>
      <c r="CV57" s="213">
        <f t="shared" si="67"/>
        <v>0</v>
      </c>
      <c r="CW57" s="213">
        <f t="shared" si="67"/>
        <v>0</v>
      </c>
      <c r="CX57" s="213">
        <f t="shared" si="67"/>
        <v>0</v>
      </c>
      <c r="CY57" s="213">
        <f t="shared" si="67"/>
        <v>0</v>
      </c>
      <c r="CZ57" s="213">
        <f t="shared" si="67"/>
        <v>0</v>
      </c>
      <c r="DA57" s="213">
        <f t="shared" si="67"/>
        <v>0</v>
      </c>
      <c r="DB57" s="213">
        <f t="shared" si="67"/>
        <v>0</v>
      </c>
      <c r="DC57" s="213">
        <f t="shared" si="67"/>
        <v>0</v>
      </c>
      <c r="DD57" s="213">
        <f t="shared" si="67"/>
        <v>0</v>
      </c>
      <c r="DE57" s="213">
        <f t="shared" si="67"/>
        <v>0</v>
      </c>
      <c r="DF57" s="213">
        <f t="shared" si="67"/>
        <v>0</v>
      </c>
      <c r="DG57" s="213">
        <f t="shared" si="67"/>
        <v>0</v>
      </c>
      <c r="DH57" s="213">
        <f t="shared" si="67"/>
        <v>0</v>
      </c>
      <c r="DI57" s="213">
        <f t="shared" si="67"/>
        <v>0</v>
      </c>
      <c r="DJ57" s="213">
        <f t="shared" si="67"/>
        <v>0</v>
      </c>
      <c r="DK57" s="213">
        <f t="shared" si="67"/>
        <v>0</v>
      </c>
      <c r="DL57" s="213">
        <f t="shared" si="67"/>
        <v>0</v>
      </c>
      <c r="DM57" s="213">
        <f t="shared" si="67"/>
        <v>0</v>
      </c>
      <c r="DN57" s="213">
        <f t="shared" si="67"/>
        <v>0</v>
      </c>
      <c r="DO57" s="213">
        <f t="shared" si="67"/>
        <v>0</v>
      </c>
      <c r="DP57" s="213">
        <f t="shared" si="67"/>
        <v>0</v>
      </c>
      <c r="DQ57" s="213">
        <f t="shared" si="67"/>
        <v>0</v>
      </c>
      <c r="DR57" s="213">
        <f t="shared" si="67"/>
        <v>0</v>
      </c>
      <c r="DS57" s="213">
        <f t="shared" si="67"/>
        <v>0</v>
      </c>
      <c r="DT57" s="213">
        <f t="shared" si="67"/>
        <v>0</v>
      </c>
      <c r="DU57" s="213">
        <f t="shared" si="67"/>
        <v>0</v>
      </c>
      <c r="DV57" s="213">
        <f t="shared" si="67"/>
        <v>0</v>
      </c>
      <c r="DW57" s="213">
        <f t="shared" si="67"/>
        <v>0</v>
      </c>
      <c r="DX57" s="213">
        <f t="shared" si="67"/>
        <v>0</v>
      </c>
      <c r="DY57" s="213">
        <f t="shared" si="67"/>
        <v>0</v>
      </c>
      <c r="DZ57" s="213">
        <f t="shared" si="67"/>
        <v>0</v>
      </c>
      <c r="EA57" s="213">
        <f t="shared" si="67"/>
        <v>0</v>
      </c>
      <c r="EB57" s="213">
        <f t="shared" si="67"/>
        <v>0</v>
      </c>
      <c r="EC57" s="213">
        <f t="shared" si="67"/>
        <v>0</v>
      </c>
      <c r="ED57" s="213">
        <f t="shared" si="67"/>
        <v>0</v>
      </c>
      <c r="EE57" s="213">
        <f t="shared" ref="EE57:GS57" si="68">+EE20-EE18-EE17-EE16-EE12-EE11-EE10-EE9-EE8</f>
        <v>0</v>
      </c>
      <c r="EF57" s="213">
        <f t="shared" si="68"/>
        <v>0</v>
      </c>
      <c r="EG57" s="213">
        <f t="shared" si="68"/>
        <v>0</v>
      </c>
      <c r="EH57" s="213">
        <f t="shared" si="68"/>
        <v>0</v>
      </c>
      <c r="EI57" s="213">
        <f t="shared" si="68"/>
        <v>0</v>
      </c>
      <c r="EJ57" s="213">
        <f t="shared" si="68"/>
        <v>0</v>
      </c>
      <c r="EK57" s="213">
        <f t="shared" si="68"/>
        <v>0</v>
      </c>
      <c r="EL57" s="213">
        <f t="shared" si="68"/>
        <v>0</v>
      </c>
      <c r="EM57" s="213">
        <f t="shared" si="68"/>
        <v>0</v>
      </c>
      <c r="EN57" s="213">
        <f t="shared" si="68"/>
        <v>0</v>
      </c>
      <c r="EO57" s="213">
        <f t="shared" si="68"/>
        <v>0</v>
      </c>
      <c r="EP57" s="213">
        <f t="shared" si="68"/>
        <v>0</v>
      </c>
      <c r="EQ57" s="213">
        <f t="shared" si="68"/>
        <v>0</v>
      </c>
      <c r="ER57" s="213">
        <f t="shared" si="68"/>
        <v>0</v>
      </c>
      <c r="ES57" s="213">
        <f t="shared" si="68"/>
        <v>0</v>
      </c>
      <c r="ET57" s="213">
        <f t="shared" si="68"/>
        <v>0</v>
      </c>
      <c r="EU57" s="213">
        <f t="shared" si="68"/>
        <v>0</v>
      </c>
      <c r="EV57" s="213">
        <f t="shared" si="68"/>
        <v>0</v>
      </c>
      <c r="EW57" s="213">
        <f t="shared" si="68"/>
        <v>0</v>
      </c>
      <c r="EX57" s="213">
        <f t="shared" si="68"/>
        <v>0</v>
      </c>
      <c r="EY57" s="213">
        <f t="shared" si="68"/>
        <v>0</v>
      </c>
      <c r="EZ57" s="213">
        <f t="shared" si="68"/>
        <v>0</v>
      </c>
      <c r="FA57" s="213">
        <f t="shared" si="68"/>
        <v>0</v>
      </c>
      <c r="FB57" s="213">
        <f t="shared" si="68"/>
        <v>0</v>
      </c>
      <c r="FC57" s="213">
        <f t="shared" si="68"/>
        <v>0</v>
      </c>
      <c r="FD57" s="213">
        <f t="shared" si="68"/>
        <v>0</v>
      </c>
      <c r="FE57" s="213">
        <f t="shared" si="68"/>
        <v>0</v>
      </c>
      <c r="FF57" s="213">
        <f t="shared" si="68"/>
        <v>0</v>
      </c>
      <c r="FG57" s="213">
        <f t="shared" si="68"/>
        <v>0</v>
      </c>
      <c r="FH57" s="213">
        <f t="shared" si="68"/>
        <v>0</v>
      </c>
      <c r="FI57" s="213">
        <f t="shared" si="68"/>
        <v>0</v>
      </c>
      <c r="FJ57" s="213">
        <f t="shared" si="68"/>
        <v>0</v>
      </c>
      <c r="FK57" s="213">
        <f t="shared" si="68"/>
        <v>0</v>
      </c>
      <c r="FL57" s="213">
        <f t="shared" si="68"/>
        <v>0</v>
      </c>
      <c r="FM57" s="213">
        <f t="shared" si="68"/>
        <v>0</v>
      </c>
      <c r="FN57" s="213">
        <f t="shared" si="68"/>
        <v>0</v>
      </c>
      <c r="FO57" s="213">
        <f t="shared" si="68"/>
        <v>0</v>
      </c>
      <c r="FP57" s="213">
        <f t="shared" si="68"/>
        <v>0</v>
      </c>
      <c r="FQ57" s="213">
        <f t="shared" si="68"/>
        <v>0</v>
      </c>
      <c r="FR57" s="213">
        <f t="shared" si="68"/>
        <v>0</v>
      </c>
      <c r="FS57" s="213">
        <f t="shared" si="68"/>
        <v>0</v>
      </c>
      <c r="FT57" s="213">
        <f t="shared" si="68"/>
        <v>0</v>
      </c>
      <c r="FU57" s="213">
        <f t="shared" si="68"/>
        <v>0</v>
      </c>
      <c r="FV57" s="213">
        <f t="shared" si="68"/>
        <v>0</v>
      </c>
      <c r="FW57" s="213">
        <f t="shared" si="68"/>
        <v>0</v>
      </c>
      <c r="FX57" s="213">
        <f t="shared" si="68"/>
        <v>0</v>
      </c>
      <c r="FY57" s="213">
        <f t="shared" si="68"/>
        <v>0</v>
      </c>
      <c r="FZ57" s="213">
        <f t="shared" si="68"/>
        <v>0</v>
      </c>
      <c r="GA57" s="213">
        <f t="shared" si="68"/>
        <v>0</v>
      </c>
      <c r="GB57" s="213">
        <f t="shared" si="68"/>
        <v>0</v>
      </c>
      <c r="GC57" s="213">
        <f t="shared" si="68"/>
        <v>0</v>
      </c>
      <c r="GD57" s="213">
        <f t="shared" si="68"/>
        <v>0</v>
      </c>
      <c r="GE57" s="213">
        <f t="shared" si="68"/>
        <v>0</v>
      </c>
      <c r="GF57" s="213">
        <f t="shared" si="68"/>
        <v>0</v>
      </c>
      <c r="GG57" s="213">
        <f t="shared" si="68"/>
        <v>0</v>
      </c>
      <c r="GH57" s="213">
        <f t="shared" si="68"/>
        <v>0</v>
      </c>
      <c r="GI57" s="213">
        <f t="shared" si="68"/>
        <v>0</v>
      </c>
      <c r="GJ57" s="213">
        <f t="shared" si="68"/>
        <v>0</v>
      </c>
      <c r="GK57" s="213"/>
      <c r="GL57" s="213"/>
      <c r="GM57" s="213"/>
      <c r="GN57" s="213">
        <f t="shared" si="68"/>
        <v>0</v>
      </c>
      <c r="GO57" s="213">
        <f t="shared" si="68"/>
        <v>0</v>
      </c>
      <c r="GP57" s="213">
        <f t="shared" si="68"/>
        <v>0</v>
      </c>
      <c r="GQ57" s="213">
        <f t="shared" si="68"/>
        <v>0</v>
      </c>
      <c r="GR57" s="213">
        <f t="shared" si="68"/>
        <v>0</v>
      </c>
      <c r="GS57" s="213">
        <f t="shared" si="68"/>
        <v>0</v>
      </c>
      <c r="GT57" s="213"/>
      <c r="GU57" s="213"/>
      <c r="GV57" s="213"/>
      <c r="GW57" s="213">
        <f t="shared" ref="GW57:JH57" si="69">+GW20-GW18-GW17-GW16-GW12-GW11-GW10-GW9-GW8</f>
        <v>0</v>
      </c>
      <c r="GX57" s="213">
        <f t="shared" si="69"/>
        <v>0</v>
      </c>
      <c r="GY57" s="213">
        <f t="shared" si="69"/>
        <v>0</v>
      </c>
      <c r="GZ57" s="213">
        <f t="shared" si="69"/>
        <v>0</v>
      </c>
      <c r="HA57" s="213">
        <f t="shared" si="69"/>
        <v>0</v>
      </c>
      <c r="HB57" s="213">
        <f t="shared" si="69"/>
        <v>0</v>
      </c>
      <c r="HC57" s="213">
        <f t="shared" si="69"/>
        <v>0</v>
      </c>
      <c r="HD57" s="213">
        <f t="shared" si="69"/>
        <v>0</v>
      </c>
      <c r="HE57" s="213">
        <f t="shared" si="69"/>
        <v>0</v>
      </c>
      <c r="HF57" s="213">
        <f t="shared" si="69"/>
        <v>0</v>
      </c>
      <c r="HG57" s="213">
        <f t="shared" si="69"/>
        <v>0</v>
      </c>
      <c r="HH57" s="213">
        <f t="shared" si="69"/>
        <v>0</v>
      </c>
      <c r="HI57" s="213">
        <f t="shared" si="69"/>
        <v>0</v>
      </c>
      <c r="HJ57" s="213">
        <f t="shared" si="69"/>
        <v>0</v>
      </c>
      <c r="HK57" s="213">
        <f t="shared" si="69"/>
        <v>0</v>
      </c>
      <c r="HL57" s="213">
        <f t="shared" si="69"/>
        <v>0</v>
      </c>
      <c r="HM57" s="213">
        <f t="shared" si="69"/>
        <v>0</v>
      </c>
      <c r="HN57" s="213">
        <f t="shared" si="69"/>
        <v>0</v>
      </c>
      <c r="HO57" s="213">
        <f t="shared" si="69"/>
        <v>0</v>
      </c>
      <c r="HP57" s="213">
        <f t="shared" si="69"/>
        <v>0</v>
      </c>
      <c r="HQ57" s="213">
        <f t="shared" si="69"/>
        <v>0</v>
      </c>
      <c r="HR57" s="213">
        <f t="shared" si="69"/>
        <v>0</v>
      </c>
      <c r="HS57" s="213">
        <f t="shared" si="69"/>
        <v>0</v>
      </c>
      <c r="HT57" s="213">
        <f t="shared" si="69"/>
        <v>0</v>
      </c>
      <c r="HU57" s="213">
        <f t="shared" si="69"/>
        <v>0</v>
      </c>
      <c r="HV57" s="213">
        <f t="shared" si="69"/>
        <v>0</v>
      </c>
      <c r="HW57" s="213">
        <f t="shared" si="69"/>
        <v>0</v>
      </c>
      <c r="HX57" s="213">
        <f t="shared" si="69"/>
        <v>0</v>
      </c>
      <c r="HY57" s="213">
        <f t="shared" si="69"/>
        <v>0</v>
      </c>
      <c r="HZ57" s="213">
        <f t="shared" si="69"/>
        <v>0</v>
      </c>
      <c r="IA57" s="213">
        <f t="shared" si="69"/>
        <v>0</v>
      </c>
      <c r="IB57" s="213">
        <f t="shared" si="69"/>
        <v>0</v>
      </c>
      <c r="IC57" s="213">
        <f t="shared" si="69"/>
        <v>0</v>
      </c>
      <c r="ID57" s="213">
        <f t="shared" si="69"/>
        <v>0</v>
      </c>
      <c r="IE57" s="213">
        <f t="shared" si="69"/>
        <v>0</v>
      </c>
      <c r="IF57" s="213">
        <f t="shared" si="69"/>
        <v>0</v>
      </c>
      <c r="IG57" s="213">
        <f t="shared" si="69"/>
        <v>0</v>
      </c>
      <c r="IH57" s="213">
        <f t="shared" si="69"/>
        <v>0</v>
      </c>
      <c r="II57" s="213">
        <f t="shared" si="69"/>
        <v>0</v>
      </c>
      <c r="IJ57" s="213">
        <f t="shared" si="69"/>
        <v>0</v>
      </c>
      <c r="IK57" s="213">
        <f t="shared" si="69"/>
        <v>0</v>
      </c>
      <c r="IL57" s="213">
        <f t="shared" si="69"/>
        <v>0</v>
      </c>
      <c r="IM57" s="213">
        <f t="shared" si="69"/>
        <v>0</v>
      </c>
      <c r="IN57" s="213">
        <f t="shared" si="69"/>
        <v>0</v>
      </c>
      <c r="IO57" s="213">
        <f t="shared" si="69"/>
        <v>0</v>
      </c>
      <c r="IP57" s="213">
        <f t="shared" si="69"/>
        <v>0</v>
      </c>
      <c r="IQ57" s="213">
        <f t="shared" si="69"/>
        <v>0</v>
      </c>
      <c r="IR57" s="213">
        <f t="shared" si="69"/>
        <v>0</v>
      </c>
      <c r="IS57" s="213">
        <f t="shared" si="69"/>
        <v>0</v>
      </c>
      <c r="IT57" s="213">
        <f t="shared" si="69"/>
        <v>0</v>
      </c>
      <c r="IU57" s="213">
        <f t="shared" si="69"/>
        <v>0</v>
      </c>
      <c r="IV57" s="213">
        <f t="shared" si="69"/>
        <v>0</v>
      </c>
      <c r="IW57" s="213">
        <f t="shared" si="69"/>
        <v>0</v>
      </c>
      <c r="IX57" s="213">
        <f t="shared" si="69"/>
        <v>0</v>
      </c>
      <c r="IY57" s="213">
        <f t="shared" si="69"/>
        <v>0</v>
      </c>
      <c r="IZ57" s="213">
        <f t="shared" si="69"/>
        <v>0</v>
      </c>
      <c r="JA57" s="213">
        <f t="shared" si="69"/>
        <v>0</v>
      </c>
      <c r="JB57" s="213">
        <f t="shared" si="69"/>
        <v>0</v>
      </c>
      <c r="JC57" s="213">
        <f t="shared" si="69"/>
        <v>0</v>
      </c>
      <c r="JD57" s="213">
        <f t="shared" si="69"/>
        <v>0</v>
      </c>
      <c r="JE57" s="213">
        <f t="shared" si="69"/>
        <v>0</v>
      </c>
      <c r="JF57" s="213">
        <f t="shared" si="69"/>
        <v>0</v>
      </c>
      <c r="JG57" s="213">
        <f t="shared" si="69"/>
        <v>0</v>
      </c>
      <c r="JH57" s="213">
        <f t="shared" si="69"/>
        <v>0</v>
      </c>
      <c r="JI57" s="213">
        <f t="shared" ref="JI57:LT57" si="70">+JI20-JI18-JI17-JI16-JI12-JI11-JI10-JI9-JI8</f>
        <v>0</v>
      </c>
      <c r="JJ57" s="213">
        <f t="shared" si="70"/>
        <v>0</v>
      </c>
      <c r="JK57" s="213">
        <f t="shared" si="70"/>
        <v>0</v>
      </c>
      <c r="JL57" s="213">
        <f t="shared" si="70"/>
        <v>0</v>
      </c>
      <c r="JM57" s="213">
        <f t="shared" si="70"/>
        <v>0</v>
      </c>
      <c r="JN57" s="213">
        <f t="shared" si="70"/>
        <v>0</v>
      </c>
      <c r="JO57" s="213">
        <f t="shared" si="70"/>
        <v>0</v>
      </c>
      <c r="JP57" s="213">
        <f t="shared" si="70"/>
        <v>0</v>
      </c>
      <c r="JQ57" s="213">
        <f t="shared" si="70"/>
        <v>0</v>
      </c>
      <c r="JR57" s="213">
        <f t="shared" si="70"/>
        <v>0</v>
      </c>
      <c r="JS57" s="213">
        <f t="shared" si="70"/>
        <v>0</v>
      </c>
      <c r="JT57" s="213">
        <f t="shared" si="70"/>
        <v>0</v>
      </c>
      <c r="JU57" s="213">
        <f t="shared" si="70"/>
        <v>0</v>
      </c>
      <c r="JV57" s="213">
        <f t="shared" si="70"/>
        <v>0</v>
      </c>
      <c r="JW57" s="213">
        <f t="shared" si="70"/>
        <v>0</v>
      </c>
      <c r="JX57" s="213">
        <f t="shared" si="70"/>
        <v>0</v>
      </c>
      <c r="JY57" s="213">
        <f t="shared" si="70"/>
        <v>0</v>
      </c>
      <c r="JZ57" s="213">
        <f t="shared" si="70"/>
        <v>0</v>
      </c>
      <c r="KA57" s="213">
        <f t="shared" si="70"/>
        <v>0</v>
      </c>
      <c r="KB57" s="213">
        <f t="shared" si="70"/>
        <v>0</v>
      </c>
      <c r="KC57" s="213">
        <f t="shared" si="70"/>
        <v>0</v>
      </c>
      <c r="KD57" s="213">
        <f t="shared" si="70"/>
        <v>0</v>
      </c>
      <c r="KE57" s="213">
        <f t="shared" si="70"/>
        <v>0</v>
      </c>
      <c r="KF57" s="213">
        <f t="shared" si="70"/>
        <v>0</v>
      </c>
      <c r="KG57" s="213">
        <f t="shared" si="70"/>
        <v>0</v>
      </c>
      <c r="KH57" s="213">
        <f t="shared" si="70"/>
        <v>0</v>
      </c>
      <c r="KI57" s="213">
        <f t="shared" si="70"/>
        <v>0</v>
      </c>
      <c r="KJ57" s="213">
        <f t="shared" si="70"/>
        <v>0</v>
      </c>
      <c r="KK57" s="213">
        <f t="shared" si="70"/>
        <v>0</v>
      </c>
      <c r="KL57" s="213">
        <f t="shared" si="70"/>
        <v>0</v>
      </c>
      <c r="KM57" s="213">
        <f t="shared" si="70"/>
        <v>0</v>
      </c>
      <c r="KN57" s="213">
        <f t="shared" si="70"/>
        <v>0</v>
      </c>
      <c r="KO57" s="213">
        <f t="shared" si="70"/>
        <v>0</v>
      </c>
      <c r="KP57" s="213">
        <f t="shared" si="70"/>
        <v>0</v>
      </c>
      <c r="KQ57" s="213">
        <f t="shared" si="70"/>
        <v>0</v>
      </c>
      <c r="KR57" s="213">
        <f t="shared" si="70"/>
        <v>0</v>
      </c>
      <c r="KS57" s="213">
        <f t="shared" si="70"/>
        <v>0</v>
      </c>
      <c r="KT57" s="213">
        <f t="shared" si="70"/>
        <v>0</v>
      </c>
      <c r="KU57" s="213">
        <f t="shared" si="70"/>
        <v>0</v>
      </c>
      <c r="KV57" s="213">
        <f t="shared" si="70"/>
        <v>0</v>
      </c>
      <c r="KW57" s="213">
        <f t="shared" si="70"/>
        <v>0</v>
      </c>
      <c r="KX57" s="213">
        <f t="shared" si="70"/>
        <v>0</v>
      </c>
      <c r="KY57" s="213">
        <f t="shared" si="70"/>
        <v>0</v>
      </c>
      <c r="KZ57" s="213">
        <f t="shared" si="70"/>
        <v>0</v>
      </c>
      <c r="LA57" s="213">
        <f t="shared" si="70"/>
        <v>0</v>
      </c>
      <c r="LB57" s="213">
        <f t="shared" si="70"/>
        <v>0</v>
      </c>
      <c r="LC57" s="213">
        <f t="shared" si="70"/>
        <v>0</v>
      </c>
      <c r="LD57" s="213">
        <f t="shared" si="70"/>
        <v>0</v>
      </c>
      <c r="LE57" s="213">
        <f t="shared" si="70"/>
        <v>0</v>
      </c>
      <c r="LF57" s="213">
        <f t="shared" si="70"/>
        <v>0</v>
      </c>
      <c r="LG57" s="213">
        <f t="shared" si="70"/>
        <v>0</v>
      </c>
      <c r="LH57" s="213">
        <f t="shared" si="70"/>
        <v>0</v>
      </c>
      <c r="LI57" s="213">
        <f t="shared" si="70"/>
        <v>0</v>
      </c>
      <c r="LJ57" s="213">
        <f t="shared" si="70"/>
        <v>0</v>
      </c>
      <c r="LK57" s="213">
        <f t="shared" si="70"/>
        <v>0</v>
      </c>
      <c r="LL57" s="213">
        <f t="shared" si="70"/>
        <v>0</v>
      </c>
      <c r="LM57" s="213">
        <f t="shared" si="70"/>
        <v>0</v>
      </c>
      <c r="LN57" s="213">
        <f t="shared" si="70"/>
        <v>0</v>
      </c>
      <c r="LO57" s="213">
        <f t="shared" si="70"/>
        <v>0</v>
      </c>
      <c r="LP57" s="213">
        <f t="shared" si="70"/>
        <v>0</v>
      </c>
      <c r="LQ57" s="213">
        <f t="shared" si="70"/>
        <v>0</v>
      </c>
      <c r="LR57" s="213">
        <f t="shared" si="70"/>
        <v>0</v>
      </c>
      <c r="LS57" s="213">
        <f t="shared" si="70"/>
        <v>0</v>
      </c>
      <c r="LT57" s="213">
        <f t="shared" si="70"/>
        <v>0</v>
      </c>
      <c r="LU57" s="213">
        <f t="shared" ref="LU57:NC57" si="71">+LU20-LU18-LU17-LU16-LU12-LU11-LU10-LU9-LU8</f>
        <v>0</v>
      </c>
      <c r="LV57" s="213">
        <f t="shared" si="71"/>
        <v>0</v>
      </c>
      <c r="LW57" s="213">
        <f t="shared" si="71"/>
        <v>0</v>
      </c>
      <c r="LX57" s="213">
        <f t="shared" si="71"/>
        <v>0</v>
      </c>
      <c r="LY57" s="213">
        <f t="shared" si="71"/>
        <v>0</v>
      </c>
      <c r="LZ57" s="213">
        <f t="shared" si="71"/>
        <v>0</v>
      </c>
      <c r="MA57" s="213">
        <f t="shared" si="71"/>
        <v>0</v>
      </c>
      <c r="MB57" s="213">
        <f t="shared" si="71"/>
        <v>0</v>
      </c>
      <c r="MC57" s="213">
        <f t="shared" si="71"/>
        <v>0</v>
      </c>
      <c r="MD57" s="213">
        <f t="shared" si="71"/>
        <v>0</v>
      </c>
      <c r="ME57" s="213">
        <f t="shared" si="71"/>
        <v>0</v>
      </c>
      <c r="MF57" s="213">
        <f t="shared" si="71"/>
        <v>0</v>
      </c>
      <c r="MG57" s="213">
        <f t="shared" si="71"/>
        <v>0</v>
      </c>
      <c r="MH57" s="213">
        <f t="shared" si="71"/>
        <v>0</v>
      </c>
      <c r="MI57" s="213">
        <f t="shared" si="71"/>
        <v>0</v>
      </c>
      <c r="MJ57" s="213">
        <f t="shared" si="71"/>
        <v>0</v>
      </c>
      <c r="MK57" s="213">
        <f t="shared" si="71"/>
        <v>0</v>
      </c>
      <c r="ML57" s="213">
        <f t="shared" si="71"/>
        <v>0</v>
      </c>
      <c r="MM57" s="213">
        <f t="shared" si="71"/>
        <v>0</v>
      </c>
      <c r="MN57" s="213">
        <f t="shared" si="71"/>
        <v>0</v>
      </c>
      <c r="MO57" s="213">
        <f t="shared" si="71"/>
        <v>0</v>
      </c>
      <c r="MP57" s="213">
        <f t="shared" si="71"/>
        <v>0</v>
      </c>
      <c r="MQ57" s="213">
        <f t="shared" si="71"/>
        <v>0</v>
      </c>
      <c r="MR57" s="213">
        <f t="shared" si="71"/>
        <v>0</v>
      </c>
      <c r="MS57" s="213">
        <f t="shared" si="71"/>
        <v>0</v>
      </c>
      <c r="MT57" s="213">
        <f t="shared" si="71"/>
        <v>0</v>
      </c>
      <c r="MU57" s="213">
        <f t="shared" si="71"/>
        <v>0</v>
      </c>
      <c r="MV57" s="213">
        <f t="shared" si="71"/>
        <v>0</v>
      </c>
      <c r="MW57" s="213">
        <f t="shared" si="71"/>
        <v>0</v>
      </c>
      <c r="MX57" s="213">
        <f t="shared" si="71"/>
        <v>0</v>
      </c>
      <c r="MY57" s="213"/>
      <c r="MZ57" s="213">
        <f>+MZ20-MZ18-MZ17-MZ16-MZ12-MZ11-MZ10-MZ9-MZ8</f>
        <v>0</v>
      </c>
      <c r="NA57" s="213"/>
      <c r="NB57" s="213">
        <f t="shared" si="71"/>
        <v>0</v>
      </c>
      <c r="NC57" s="213">
        <f t="shared" si="71"/>
        <v>0</v>
      </c>
    </row>
    <row r="59" spans="1:367" x14ac:dyDescent="0.25">
      <c r="F59" s="213">
        <f>+F18-F19</f>
        <v>0</v>
      </c>
      <c r="G59" s="213">
        <f t="shared" ref="G59:BR59" si="72">+G18-G19</f>
        <v>0</v>
      </c>
      <c r="H59" s="213">
        <f t="shared" si="72"/>
        <v>0</v>
      </c>
      <c r="I59" s="213">
        <f t="shared" si="72"/>
        <v>0</v>
      </c>
      <c r="J59" s="213">
        <f t="shared" si="72"/>
        <v>0</v>
      </c>
      <c r="K59" s="213">
        <f t="shared" si="72"/>
        <v>0</v>
      </c>
      <c r="L59" s="213">
        <f t="shared" si="72"/>
        <v>0</v>
      </c>
      <c r="M59" s="213">
        <f t="shared" si="72"/>
        <v>0</v>
      </c>
      <c r="N59" s="213">
        <f t="shared" si="72"/>
        <v>0</v>
      </c>
      <c r="O59" s="213">
        <f t="shared" si="72"/>
        <v>0</v>
      </c>
      <c r="P59" s="213">
        <f t="shared" si="72"/>
        <v>0</v>
      </c>
      <c r="Q59" s="213">
        <f t="shared" si="72"/>
        <v>0</v>
      </c>
      <c r="R59" s="213">
        <f t="shared" si="72"/>
        <v>0</v>
      </c>
      <c r="S59" s="213">
        <f t="shared" si="72"/>
        <v>0</v>
      </c>
      <c r="T59" s="213">
        <f t="shared" si="72"/>
        <v>0</v>
      </c>
      <c r="U59" s="213">
        <f t="shared" si="72"/>
        <v>0</v>
      </c>
      <c r="V59" s="213">
        <f t="shared" si="72"/>
        <v>0</v>
      </c>
      <c r="W59" s="213">
        <f t="shared" si="72"/>
        <v>0</v>
      </c>
      <c r="X59" s="213">
        <f t="shared" si="72"/>
        <v>0</v>
      </c>
      <c r="Y59" s="213">
        <f t="shared" si="72"/>
        <v>0</v>
      </c>
      <c r="Z59" s="213">
        <f t="shared" si="72"/>
        <v>0</v>
      </c>
      <c r="AA59" s="213">
        <f t="shared" si="72"/>
        <v>0</v>
      </c>
      <c r="AB59" s="213">
        <f t="shared" si="72"/>
        <v>0</v>
      </c>
      <c r="AC59" s="213">
        <f t="shared" si="72"/>
        <v>0</v>
      </c>
      <c r="AD59" s="213">
        <f t="shared" si="72"/>
        <v>0</v>
      </c>
      <c r="AE59" s="213">
        <f t="shared" si="72"/>
        <v>0</v>
      </c>
      <c r="AF59" s="213">
        <f t="shared" si="72"/>
        <v>0</v>
      </c>
      <c r="AG59" s="213">
        <f t="shared" si="72"/>
        <v>0</v>
      </c>
      <c r="AH59" s="213">
        <f t="shared" si="72"/>
        <v>0</v>
      </c>
      <c r="AI59" s="213">
        <f t="shared" si="72"/>
        <v>0</v>
      </c>
      <c r="AJ59" s="213">
        <f t="shared" si="72"/>
        <v>0</v>
      </c>
      <c r="AK59" s="213">
        <f t="shared" si="72"/>
        <v>0</v>
      </c>
      <c r="AL59" s="213">
        <f t="shared" si="72"/>
        <v>0</v>
      </c>
      <c r="AM59" s="213">
        <f t="shared" si="72"/>
        <v>0</v>
      </c>
      <c r="AN59" s="213">
        <f t="shared" si="72"/>
        <v>0</v>
      </c>
      <c r="AO59" s="213">
        <f t="shared" si="72"/>
        <v>0</v>
      </c>
      <c r="AP59" s="213">
        <f t="shared" si="72"/>
        <v>0</v>
      </c>
      <c r="AQ59" s="213">
        <f t="shared" si="72"/>
        <v>0</v>
      </c>
      <c r="AR59" s="213">
        <f t="shared" si="72"/>
        <v>0</v>
      </c>
      <c r="AS59" s="213">
        <f t="shared" si="72"/>
        <v>0</v>
      </c>
      <c r="AT59" s="213">
        <f t="shared" si="72"/>
        <v>0</v>
      </c>
      <c r="AU59" s="213">
        <f t="shared" si="72"/>
        <v>0</v>
      </c>
      <c r="AV59" s="213">
        <f t="shared" si="72"/>
        <v>0</v>
      </c>
      <c r="AW59" s="213">
        <f t="shared" si="72"/>
        <v>0</v>
      </c>
      <c r="AX59" s="213">
        <f t="shared" si="72"/>
        <v>0</v>
      </c>
      <c r="AY59" s="213">
        <f t="shared" si="72"/>
        <v>0</v>
      </c>
      <c r="AZ59" s="213">
        <f t="shared" si="72"/>
        <v>0</v>
      </c>
      <c r="BA59" s="213">
        <f t="shared" si="72"/>
        <v>0</v>
      </c>
      <c r="BB59" s="213">
        <f t="shared" si="72"/>
        <v>0</v>
      </c>
      <c r="BC59" s="213">
        <f t="shared" si="72"/>
        <v>0</v>
      </c>
      <c r="BD59" s="213">
        <f t="shared" si="72"/>
        <v>0</v>
      </c>
      <c r="BE59" s="213">
        <f t="shared" si="72"/>
        <v>0</v>
      </c>
      <c r="BF59" s="213">
        <f t="shared" si="72"/>
        <v>0</v>
      </c>
      <c r="BG59" s="213">
        <f t="shared" si="72"/>
        <v>0</v>
      </c>
      <c r="BH59" s="213">
        <f t="shared" si="72"/>
        <v>0</v>
      </c>
      <c r="BI59" s="213">
        <f t="shared" si="72"/>
        <v>0</v>
      </c>
      <c r="BJ59" s="213">
        <f t="shared" si="72"/>
        <v>0</v>
      </c>
      <c r="BK59" s="213">
        <f t="shared" si="72"/>
        <v>0</v>
      </c>
      <c r="BL59" s="213">
        <f t="shared" si="72"/>
        <v>0</v>
      </c>
      <c r="BM59" s="213">
        <f t="shared" si="72"/>
        <v>0</v>
      </c>
      <c r="BN59" s="213">
        <f t="shared" si="72"/>
        <v>0</v>
      </c>
      <c r="BO59" s="213">
        <f t="shared" si="72"/>
        <v>0</v>
      </c>
      <c r="BP59" s="213">
        <f t="shared" si="72"/>
        <v>0</v>
      </c>
      <c r="BQ59" s="213">
        <f t="shared" si="72"/>
        <v>0</v>
      </c>
      <c r="BR59" s="213">
        <f t="shared" si="72"/>
        <v>0</v>
      </c>
      <c r="BS59" s="213">
        <f t="shared" ref="BS59:ED59" si="73">+BS18-BS19</f>
        <v>0</v>
      </c>
      <c r="BT59" s="213">
        <f t="shared" si="73"/>
        <v>0</v>
      </c>
      <c r="BU59" s="213">
        <f t="shared" si="73"/>
        <v>0</v>
      </c>
      <c r="BV59" s="213">
        <f t="shared" si="73"/>
        <v>0</v>
      </c>
      <c r="BW59" s="213">
        <f t="shared" si="73"/>
        <v>0</v>
      </c>
      <c r="BX59" s="213">
        <f t="shared" si="73"/>
        <v>0</v>
      </c>
      <c r="BY59" s="213">
        <f t="shared" si="73"/>
        <v>0</v>
      </c>
      <c r="BZ59" s="213">
        <f t="shared" si="73"/>
        <v>0</v>
      </c>
      <c r="CA59" s="213">
        <f t="shared" si="73"/>
        <v>0</v>
      </c>
      <c r="CB59" s="213">
        <f t="shared" si="73"/>
        <v>0</v>
      </c>
      <c r="CC59" s="213">
        <f t="shared" si="73"/>
        <v>0</v>
      </c>
      <c r="CD59" s="213">
        <f t="shared" si="73"/>
        <v>0</v>
      </c>
      <c r="CE59" s="213">
        <f t="shared" si="73"/>
        <v>0</v>
      </c>
      <c r="CF59" s="213">
        <f t="shared" si="73"/>
        <v>0</v>
      </c>
      <c r="CG59" s="213">
        <f t="shared" si="73"/>
        <v>0</v>
      </c>
      <c r="CH59" s="213">
        <f t="shared" si="73"/>
        <v>0</v>
      </c>
      <c r="CI59" s="213">
        <f t="shared" si="73"/>
        <v>0</v>
      </c>
      <c r="CJ59" s="213">
        <f t="shared" si="73"/>
        <v>0</v>
      </c>
      <c r="CK59" s="213">
        <f t="shared" si="73"/>
        <v>0</v>
      </c>
      <c r="CL59" s="213">
        <f t="shared" si="73"/>
        <v>0</v>
      </c>
      <c r="CM59" s="213">
        <f t="shared" si="73"/>
        <v>0</v>
      </c>
      <c r="CN59" s="213">
        <f t="shared" si="73"/>
        <v>0</v>
      </c>
      <c r="CO59" s="213">
        <f t="shared" si="73"/>
        <v>0</v>
      </c>
      <c r="CP59" s="213">
        <f t="shared" si="73"/>
        <v>0</v>
      </c>
      <c r="CQ59" s="213">
        <f t="shared" si="73"/>
        <v>0</v>
      </c>
      <c r="CR59" s="213">
        <f t="shared" si="73"/>
        <v>0</v>
      </c>
      <c r="CS59" s="213">
        <f t="shared" si="73"/>
        <v>0</v>
      </c>
      <c r="CT59" s="213">
        <f t="shared" si="73"/>
        <v>0</v>
      </c>
      <c r="CU59" s="213">
        <f t="shared" si="73"/>
        <v>0</v>
      </c>
      <c r="CV59" s="213">
        <f t="shared" si="73"/>
        <v>0</v>
      </c>
      <c r="CW59" s="213">
        <f t="shared" si="73"/>
        <v>0</v>
      </c>
      <c r="CX59" s="213">
        <f t="shared" si="73"/>
        <v>0</v>
      </c>
      <c r="CY59" s="213">
        <f t="shared" si="73"/>
        <v>0</v>
      </c>
      <c r="CZ59" s="213">
        <f t="shared" si="73"/>
        <v>0</v>
      </c>
      <c r="DA59" s="213">
        <f t="shared" si="73"/>
        <v>0</v>
      </c>
      <c r="DB59" s="213">
        <f t="shared" si="73"/>
        <v>0</v>
      </c>
      <c r="DC59" s="213">
        <f t="shared" si="73"/>
        <v>0</v>
      </c>
      <c r="DD59" s="213">
        <f t="shared" si="73"/>
        <v>0</v>
      </c>
      <c r="DE59" s="213">
        <f t="shared" si="73"/>
        <v>0</v>
      </c>
      <c r="DF59" s="213">
        <f t="shared" si="73"/>
        <v>0</v>
      </c>
      <c r="DG59" s="213">
        <f t="shared" si="73"/>
        <v>0</v>
      </c>
      <c r="DH59" s="213">
        <f t="shared" si="73"/>
        <v>0</v>
      </c>
      <c r="DI59" s="213">
        <f t="shared" si="73"/>
        <v>0</v>
      </c>
      <c r="DJ59" s="213">
        <f t="shared" si="73"/>
        <v>0</v>
      </c>
      <c r="DK59" s="213">
        <f t="shared" si="73"/>
        <v>0</v>
      </c>
      <c r="DL59" s="213">
        <f t="shared" si="73"/>
        <v>0</v>
      </c>
      <c r="DM59" s="213">
        <f t="shared" si="73"/>
        <v>0</v>
      </c>
      <c r="DN59" s="213">
        <f t="shared" si="73"/>
        <v>0</v>
      </c>
      <c r="DO59" s="213">
        <f t="shared" si="73"/>
        <v>0</v>
      </c>
      <c r="DP59" s="213">
        <f t="shared" si="73"/>
        <v>0</v>
      </c>
      <c r="DQ59" s="213">
        <f t="shared" si="73"/>
        <v>0</v>
      </c>
      <c r="DR59" s="213">
        <f t="shared" si="73"/>
        <v>0</v>
      </c>
      <c r="DS59" s="213">
        <f t="shared" si="73"/>
        <v>0</v>
      </c>
      <c r="DT59" s="213">
        <f t="shared" si="73"/>
        <v>0</v>
      </c>
      <c r="DU59" s="213">
        <f t="shared" si="73"/>
        <v>0</v>
      </c>
      <c r="DV59" s="213">
        <f t="shared" si="73"/>
        <v>0</v>
      </c>
      <c r="DW59" s="213">
        <f t="shared" si="73"/>
        <v>0</v>
      </c>
      <c r="DX59" s="213">
        <f t="shared" si="73"/>
        <v>0</v>
      </c>
      <c r="DY59" s="213">
        <f t="shared" si="73"/>
        <v>0</v>
      </c>
      <c r="DZ59" s="213">
        <f t="shared" si="73"/>
        <v>0</v>
      </c>
      <c r="EA59" s="213">
        <f t="shared" si="73"/>
        <v>0</v>
      </c>
      <c r="EB59" s="213">
        <f t="shared" si="73"/>
        <v>0</v>
      </c>
      <c r="EC59" s="213">
        <f t="shared" si="73"/>
        <v>0</v>
      </c>
      <c r="ED59" s="213">
        <f t="shared" si="73"/>
        <v>0</v>
      </c>
      <c r="EE59" s="213">
        <f t="shared" ref="EE59:GS59" si="74">+EE18-EE19</f>
        <v>0</v>
      </c>
      <c r="EF59" s="213">
        <f t="shared" si="74"/>
        <v>0</v>
      </c>
      <c r="EG59" s="213">
        <f t="shared" si="74"/>
        <v>0</v>
      </c>
      <c r="EH59" s="213">
        <f t="shared" si="74"/>
        <v>0</v>
      </c>
      <c r="EI59" s="213">
        <f t="shared" si="74"/>
        <v>0</v>
      </c>
      <c r="EJ59" s="213">
        <f t="shared" si="74"/>
        <v>0</v>
      </c>
      <c r="EK59" s="213">
        <f t="shared" si="74"/>
        <v>0</v>
      </c>
      <c r="EL59" s="213">
        <f t="shared" si="74"/>
        <v>0</v>
      </c>
      <c r="EM59" s="213">
        <f t="shared" si="74"/>
        <v>0</v>
      </c>
      <c r="EN59" s="213">
        <f t="shared" si="74"/>
        <v>0</v>
      </c>
      <c r="EO59" s="213">
        <f t="shared" si="74"/>
        <v>0</v>
      </c>
      <c r="EP59" s="213">
        <f t="shared" si="74"/>
        <v>0</v>
      </c>
      <c r="EQ59" s="213">
        <f t="shared" si="74"/>
        <v>0</v>
      </c>
      <c r="ER59" s="213">
        <f t="shared" si="74"/>
        <v>0</v>
      </c>
      <c r="ES59" s="213">
        <f t="shared" si="74"/>
        <v>0</v>
      </c>
      <c r="ET59" s="213">
        <f t="shared" si="74"/>
        <v>0</v>
      </c>
      <c r="EU59" s="213">
        <f t="shared" si="74"/>
        <v>0</v>
      </c>
      <c r="EV59" s="213">
        <f t="shared" si="74"/>
        <v>0</v>
      </c>
      <c r="EW59" s="213">
        <f t="shared" si="74"/>
        <v>0</v>
      </c>
      <c r="EX59" s="213">
        <f t="shared" si="74"/>
        <v>0</v>
      </c>
      <c r="EY59" s="213">
        <f t="shared" si="74"/>
        <v>0</v>
      </c>
      <c r="EZ59" s="213">
        <f t="shared" si="74"/>
        <v>0</v>
      </c>
      <c r="FA59" s="213">
        <f t="shared" si="74"/>
        <v>0</v>
      </c>
      <c r="FB59" s="213">
        <f t="shared" si="74"/>
        <v>0</v>
      </c>
      <c r="FC59" s="213">
        <f t="shared" si="74"/>
        <v>0</v>
      </c>
      <c r="FD59" s="213">
        <f t="shared" si="74"/>
        <v>0</v>
      </c>
      <c r="FE59" s="213">
        <f t="shared" si="74"/>
        <v>0</v>
      </c>
      <c r="FF59" s="213">
        <f t="shared" si="74"/>
        <v>0</v>
      </c>
      <c r="FG59" s="213">
        <f t="shared" si="74"/>
        <v>0</v>
      </c>
      <c r="FH59" s="213">
        <f t="shared" si="74"/>
        <v>0</v>
      </c>
      <c r="FI59" s="213">
        <f t="shared" si="74"/>
        <v>0</v>
      </c>
      <c r="FJ59" s="213">
        <f t="shared" si="74"/>
        <v>0</v>
      </c>
      <c r="FK59" s="213">
        <f t="shared" si="74"/>
        <v>0</v>
      </c>
      <c r="FL59" s="213">
        <f t="shared" si="74"/>
        <v>0</v>
      </c>
      <c r="FM59" s="213">
        <f t="shared" si="74"/>
        <v>0</v>
      </c>
      <c r="FN59" s="213">
        <f t="shared" si="74"/>
        <v>0</v>
      </c>
      <c r="FO59" s="213">
        <f t="shared" si="74"/>
        <v>0</v>
      </c>
      <c r="FP59" s="213">
        <f t="shared" si="74"/>
        <v>0</v>
      </c>
      <c r="FQ59" s="213">
        <f t="shared" si="74"/>
        <v>0</v>
      </c>
      <c r="FR59" s="213">
        <f t="shared" si="74"/>
        <v>0</v>
      </c>
      <c r="FS59" s="213">
        <f t="shared" si="74"/>
        <v>0</v>
      </c>
      <c r="FT59" s="213">
        <f t="shared" si="74"/>
        <v>0</v>
      </c>
      <c r="FU59" s="213">
        <f t="shared" si="74"/>
        <v>0</v>
      </c>
      <c r="FV59" s="213">
        <f t="shared" si="74"/>
        <v>0</v>
      </c>
      <c r="FW59" s="213">
        <f t="shared" si="74"/>
        <v>0</v>
      </c>
      <c r="FX59" s="213">
        <f t="shared" si="74"/>
        <v>0</v>
      </c>
      <c r="FY59" s="213">
        <f t="shared" si="74"/>
        <v>0</v>
      </c>
      <c r="FZ59" s="213">
        <f t="shared" si="74"/>
        <v>0</v>
      </c>
      <c r="GA59" s="213">
        <f t="shared" si="74"/>
        <v>0</v>
      </c>
      <c r="GB59" s="213">
        <f t="shared" si="74"/>
        <v>0</v>
      </c>
      <c r="GC59" s="213">
        <f t="shared" si="74"/>
        <v>0</v>
      </c>
      <c r="GD59" s="213">
        <f t="shared" si="74"/>
        <v>0</v>
      </c>
      <c r="GE59" s="213">
        <f t="shared" si="74"/>
        <v>0</v>
      </c>
      <c r="GF59" s="213">
        <f t="shared" si="74"/>
        <v>0</v>
      </c>
      <c r="GG59" s="213">
        <f t="shared" si="74"/>
        <v>0</v>
      </c>
      <c r="GH59" s="213">
        <f t="shared" si="74"/>
        <v>0</v>
      </c>
      <c r="GI59" s="213">
        <f t="shared" si="74"/>
        <v>0</v>
      </c>
      <c r="GJ59" s="213">
        <f t="shared" si="74"/>
        <v>0</v>
      </c>
      <c r="GK59" s="213"/>
      <c r="GL59" s="213"/>
      <c r="GM59" s="213"/>
      <c r="GN59" s="213">
        <f t="shared" si="74"/>
        <v>0</v>
      </c>
      <c r="GO59" s="213">
        <f t="shared" si="74"/>
        <v>0</v>
      </c>
      <c r="GP59" s="213">
        <f t="shared" si="74"/>
        <v>0</v>
      </c>
      <c r="GQ59" s="213">
        <f t="shared" si="74"/>
        <v>0</v>
      </c>
      <c r="GR59" s="213">
        <f t="shared" si="74"/>
        <v>0</v>
      </c>
      <c r="GS59" s="213">
        <f t="shared" si="74"/>
        <v>0</v>
      </c>
      <c r="GT59" s="213"/>
      <c r="GU59" s="213"/>
      <c r="GV59" s="213"/>
      <c r="GW59" s="213">
        <f t="shared" ref="GW59:JH59" si="75">+GW18-GW19</f>
        <v>0</v>
      </c>
      <c r="GX59" s="213">
        <f t="shared" si="75"/>
        <v>0</v>
      </c>
      <c r="GY59" s="213">
        <f t="shared" si="75"/>
        <v>0</v>
      </c>
      <c r="GZ59" s="213">
        <f t="shared" si="75"/>
        <v>0</v>
      </c>
      <c r="HA59" s="213">
        <f t="shared" si="75"/>
        <v>0</v>
      </c>
      <c r="HB59" s="213">
        <f t="shared" si="75"/>
        <v>0</v>
      </c>
      <c r="HC59" s="213">
        <f t="shared" si="75"/>
        <v>0</v>
      </c>
      <c r="HD59" s="213">
        <f t="shared" si="75"/>
        <v>0</v>
      </c>
      <c r="HE59" s="213">
        <f t="shared" si="75"/>
        <v>0</v>
      </c>
      <c r="HF59" s="213">
        <f t="shared" si="75"/>
        <v>0</v>
      </c>
      <c r="HG59" s="213">
        <f t="shared" si="75"/>
        <v>0</v>
      </c>
      <c r="HH59" s="213">
        <f t="shared" si="75"/>
        <v>0</v>
      </c>
      <c r="HI59" s="213">
        <f t="shared" si="75"/>
        <v>0</v>
      </c>
      <c r="HJ59" s="213">
        <f t="shared" si="75"/>
        <v>0</v>
      </c>
      <c r="HK59" s="213">
        <f t="shared" si="75"/>
        <v>0</v>
      </c>
      <c r="HL59" s="213">
        <f t="shared" si="75"/>
        <v>0</v>
      </c>
      <c r="HM59" s="213">
        <f t="shared" si="75"/>
        <v>0</v>
      </c>
      <c r="HN59" s="213">
        <f t="shared" si="75"/>
        <v>0</v>
      </c>
      <c r="HO59" s="213">
        <f t="shared" si="75"/>
        <v>0</v>
      </c>
      <c r="HP59" s="213">
        <f t="shared" si="75"/>
        <v>0</v>
      </c>
      <c r="HQ59" s="213">
        <f t="shared" si="75"/>
        <v>0</v>
      </c>
      <c r="HR59" s="213">
        <f t="shared" si="75"/>
        <v>0</v>
      </c>
      <c r="HS59" s="213">
        <f t="shared" si="75"/>
        <v>0</v>
      </c>
      <c r="HT59" s="213">
        <f t="shared" si="75"/>
        <v>0</v>
      </c>
      <c r="HU59" s="213">
        <f t="shared" si="75"/>
        <v>0</v>
      </c>
      <c r="HV59" s="213">
        <f t="shared" si="75"/>
        <v>0</v>
      </c>
      <c r="HW59" s="213">
        <f t="shared" si="75"/>
        <v>0</v>
      </c>
      <c r="HX59" s="213">
        <f t="shared" si="75"/>
        <v>0</v>
      </c>
      <c r="HY59" s="213">
        <f t="shared" si="75"/>
        <v>0</v>
      </c>
      <c r="HZ59" s="213">
        <f t="shared" si="75"/>
        <v>0</v>
      </c>
      <c r="IA59" s="213">
        <f t="shared" si="75"/>
        <v>0</v>
      </c>
      <c r="IB59" s="213">
        <f t="shared" si="75"/>
        <v>0</v>
      </c>
      <c r="IC59" s="213">
        <f t="shared" si="75"/>
        <v>0</v>
      </c>
      <c r="ID59" s="213">
        <f t="shared" si="75"/>
        <v>0</v>
      </c>
      <c r="IE59" s="213">
        <f t="shared" si="75"/>
        <v>0</v>
      </c>
      <c r="IF59" s="213">
        <f t="shared" si="75"/>
        <v>0</v>
      </c>
      <c r="IG59" s="213">
        <f t="shared" si="75"/>
        <v>0</v>
      </c>
      <c r="IH59" s="213">
        <f t="shared" si="75"/>
        <v>0</v>
      </c>
      <c r="II59" s="213">
        <f t="shared" si="75"/>
        <v>0</v>
      </c>
      <c r="IJ59" s="213">
        <f t="shared" si="75"/>
        <v>0</v>
      </c>
      <c r="IK59" s="213">
        <f t="shared" si="75"/>
        <v>0</v>
      </c>
      <c r="IL59" s="213">
        <f t="shared" si="75"/>
        <v>0</v>
      </c>
      <c r="IM59" s="213">
        <f t="shared" si="75"/>
        <v>0</v>
      </c>
      <c r="IN59" s="213">
        <f t="shared" si="75"/>
        <v>0</v>
      </c>
      <c r="IO59" s="213">
        <f t="shared" si="75"/>
        <v>0</v>
      </c>
      <c r="IP59" s="213">
        <f t="shared" si="75"/>
        <v>0</v>
      </c>
      <c r="IQ59" s="213">
        <f t="shared" si="75"/>
        <v>0</v>
      </c>
      <c r="IR59" s="213">
        <f t="shared" si="75"/>
        <v>0</v>
      </c>
      <c r="IS59" s="213">
        <f t="shared" si="75"/>
        <v>0</v>
      </c>
      <c r="IT59" s="213">
        <f t="shared" si="75"/>
        <v>0</v>
      </c>
      <c r="IU59" s="213">
        <f t="shared" si="75"/>
        <v>0</v>
      </c>
      <c r="IV59" s="213">
        <f t="shared" si="75"/>
        <v>0</v>
      </c>
      <c r="IW59" s="213">
        <f t="shared" si="75"/>
        <v>0</v>
      </c>
      <c r="IX59" s="213">
        <f t="shared" si="75"/>
        <v>0</v>
      </c>
      <c r="IY59" s="213">
        <f t="shared" si="75"/>
        <v>0</v>
      </c>
      <c r="IZ59" s="213">
        <f t="shared" si="75"/>
        <v>0</v>
      </c>
      <c r="JA59" s="213">
        <f t="shared" si="75"/>
        <v>0</v>
      </c>
      <c r="JB59" s="213">
        <f t="shared" si="75"/>
        <v>0</v>
      </c>
      <c r="JC59" s="213">
        <f t="shared" si="75"/>
        <v>0</v>
      </c>
      <c r="JD59" s="213">
        <f t="shared" si="75"/>
        <v>0</v>
      </c>
      <c r="JE59" s="213">
        <f t="shared" si="75"/>
        <v>0</v>
      </c>
      <c r="JF59" s="213">
        <f t="shared" si="75"/>
        <v>0</v>
      </c>
      <c r="JG59" s="213">
        <f t="shared" si="75"/>
        <v>0</v>
      </c>
      <c r="JH59" s="213">
        <f t="shared" si="75"/>
        <v>0</v>
      </c>
      <c r="JI59" s="213">
        <f t="shared" ref="JI59:LT59" si="76">+JI18-JI19</f>
        <v>0</v>
      </c>
      <c r="JJ59" s="213">
        <f t="shared" si="76"/>
        <v>0</v>
      </c>
      <c r="JK59" s="213">
        <f t="shared" si="76"/>
        <v>0</v>
      </c>
      <c r="JL59" s="213">
        <f t="shared" si="76"/>
        <v>0</v>
      </c>
      <c r="JM59" s="213">
        <f t="shared" si="76"/>
        <v>0</v>
      </c>
      <c r="JN59" s="213">
        <f t="shared" si="76"/>
        <v>0</v>
      </c>
      <c r="JO59" s="213">
        <f t="shared" si="76"/>
        <v>0</v>
      </c>
      <c r="JP59" s="213">
        <f t="shared" si="76"/>
        <v>0</v>
      </c>
      <c r="JQ59" s="213">
        <f t="shared" si="76"/>
        <v>0</v>
      </c>
      <c r="JR59" s="213">
        <f t="shared" si="76"/>
        <v>0</v>
      </c>
      <c r="JS59" s="213">
        <f t="shared" si="76"/>
        <v>0</v>
      </c>
      <c r="JT59" s="213">
        <f t="shared" si="76"/>
        <v>0</v>
      </c>
      <c r="JU59" s="213">
        <f t="shared" si="76"/>
        <v>0</v>
      </c>
      <c r="JV59" s="213">
        <f t="shared" si="76"/>
        <v>0</v>
      </c>
      <c r="JW59" s="213">
        <f t="shared" si="76"/>
        <v>0</v>
      </c>
      <c r="JX59" s="213">
        <f t="shared" si="76"/>
        <v>0</v>
      </c>
      <c r="JY59" s="213">
        <f t="shared" si="76"/>
        <v>0</v>
      </c>
      <c r="JZ59" s="213">
        <f t="shared" si="76"/>
        <v>0</v>
      </c>
      <c r="KA59" s="213">
        <f t="shared" si="76"/>
        <v>0</v>
      </c>
      <c r="KB59" s="213">
        <f t="shared" si="76"/>
        <v>0</v>
      </c>
      <c r="KC59" s="213">
        <f t="shared" si="76"/>
        <v>0</v>
      </c>
      <c r="KD59" s="213">
        <f t="shared" si="76"/>
        <v>0</v>
      </c>
      <c r="KE59" s="213">
        <f t="shared" si="76"/>
        <v>0</v>
      </c>
      <c r="KF59" s="213">
        <f t="shared" si="76"/>
        <v>0</v>
      </c>
      <c r="KG59" s="213">
        <f t="shared" si="76"/>
        <v>0</v>
      </c>
      <c r="KH59" s="213">
        <f t="shared" si="76"/>
        <v>0</v>
      </c>
      <c r="KI59" s="213">
        <f t="shared" si="76"/>
        <v>0</v>
      </c>
      <c r="KJ59" s="213">
        <f t="shared" si="76"/>
        <v>0</v>
      </c>
      <c r="KK59" s="213">
        <f t="shared" si="76"/>
        <v>0</v>
      </c>
      <c r="KL59" s="213">
        <f t="shared" si="76"/>
        <v>0</v>
      </c>
      <c r="KM59" s="213">
        <f t="shared" si="76"/>
        <v>0</v>
      </c>
      <c r="KN59" s="213">
        <f t="shared" si="76"/>
        <v>0</v>
      </c>
      <c r="KO59" s="213">
        <f t="shared" si="76"/>
        <v>0</v>
      </c>
      <c r="KP59" s="213">
        <f t="shared" si="76"/>
        <v>0</v>
      </c>
      <c r="KQ59" s="213">
        <f t="shared" si="76"/>
        <v>0</v>
      </c>
      <c r="KR59" s="213">
        <f t="shared" si="76"/>
        <v>0</v>
      </c>
      <c r="KS59" s="213">
        <f t="shared" si="76"/>
        <v>0</v>
      </c>
      <c r="KT59" s="213">
        <f t="shared" si="76"/>
        <v>0</v>
      </c>
      <c r="KU59" s="213">
        <f t="shared" si="76"/>
        <v>0</v>
      </c>
      <c r="KV59" s="213">
        <f t="shared" si="76"/>
        <v>0</v>
      </c>
      <c r="KW59" s="213">
        <f t="shared" si="76"/>
        <v>0</v>
      </c>
      <c r="KX59" s="213">
        <f t="shared" si="76"/>
        <v>0</v>
      </c>
      <c r="KY59" s="213">
        <f t="shared" si="76"/>
        <v>0</v>
      </c>
      <c r="KZ59" s="213">
        <f t="shared" si="76"/>
        <v>0</v>
      </c>
      <c r="LA59" s="213">
        <f t="shared" si="76"/>
        <v>0</v>
      </c>
      <c r="LB59" s="213">
        <f t="shared" si="76"/>
        <v>0</v>
      </c>
      <c r="LC59" s="213">
        <f t="shared" si="76"/>
        <v>0</v>
      </c>
      <c r="LD59" s="213">
        <f t="shared" si="76"/>
        <v>0</v>
      </c>
      <c r="LE59" s="213">
        <f t="shared" si="76"/>
        <v>0</v>
      </c>
      <c r="LF59" s="213">
        <f t="shared" si="76"/>
        <v>0</v>
      </c>
      <c r="LG59" s="213">
        <f t="shared" si="76"/>
        <v>0</v>
      </c>
      <c r="LH59" s="213">
        <f t="shared" si="76"/>
        <v>0</v>
      </c>
      <c r="LI59" s="213">
        <f t="shared" si="76"/>
        <v>0</v>
      </c>
      <c r="LJ59" s="213">
        <f t="shared" si="76"/>
        <v>0</v>
      </c>
      <c r="LK59" s="213">
        <f t="shared" si="76"/>
        <v>0</v>
      </c>
      <c r="LL59" s="213">
        <f t="shared" si="76"/>
        <v>0</v>
      </c>
      <c r="LM59" s="213">
        <f t="shared" si="76"/>
        <v>0</v>
      </c>
      <c r="LN59" s="213">
        <f t="shared" si="76"/>
        <v>0</v>
      </c>
      <c r="LO59" s="213">
        <f t="shared" si="76"/>
        <v>0</v>
      </c>
      <c r="LP59" s="213">
        <f t="shared" si="76"/>
        <v>0</v>
      </c>
      <c r="LQ59" s="213">
        <f t="shared" si="76"/>
        <v>0</v>
      </c>
      <c r="LR59" s="213">
        <f t="shared" si="76"/>
        <v>0</v>
      </c>
      <c r="LS59" s="213">
        <f t="shared" si="76"/>
        <v>0</v>
      </c>
      <c r="LT59" s="213">
        <f t="shared" si="76"/>
        <v>0</v>
      </c>
      <c r="LU59" s="213">
        <f t="shared" ref="LU59:NC59" si="77">+LU18-LU19</f>
        <v>0</v>
      </c>
      <c r="LV59" s="213">
        <f t="shared" si="77"/>
        <v>0</v>
      </c>
      <c r="LW59" s="213">
        <f t="shared" si="77"/>
        <v>0</v>
      </c>
      <c r="LX59" s="213">
        <f t="shared" si="77"/>
        <v>0</v>
      </c>
      <c r="LY59" s="213">
        <f t="shared" si="77"/>
        <v>0</v>
      </c>
      <c r="LZ59" s="213">
        <f t="shared" si="77"/>
        <v>0</v>
      </c>
      <c r="MA59" s="213">
        <f t="shared" si="77"/>
        <v>0</v>
      </c>
      <c r="MB59" s="213">
        <f t="shared" si="77"/>
        <v>0</v>
      </c>
      <c r="MC59" s="213">
        <f t="shared" si="77"/>
        <v>0</v>
      </c>
      <c r="MD59" s="213">
        <f t="shared" si="77"/>
        <v>0</v>
      </c>
      <c r="ME59" s="213">
        <f t="shared" si="77"/>
        <v>0</v>
      </c>
      <c r="MF59" s="213">
        <f t="shared" si="77"/>
        <v>0</v>
      </c>
      <c r="MG59" s="213">
        <f t="shared" si="77"/>
        <v>0</v>
      </c>
      <c r="MH59" s="213">
        <f t="shared" si="77"/>
        <v>0</v>
      </c>
      <c r="MI59" s="213">
        <f t="shared" si="77"/>
        <v>0</v>
      </c>
      <c r="MJ59" s="213">
        <f t="shared" si="77"/>
        <v>0</v>
      </c>
      <c r="MK59" s="213">
        <f t="shared" si="77"/>
        <v>0</v>
      </c>
      <c r="ML59" s="213">
        <f t="shared" si="77"/>
        <v>0</v>
      </c>
      <c r="MM59" s="213">
        <f t="shared" si="77"/>
        <v>0</v>
      </c>
      <c r="MN59" s="213">
        <f t="shared" si="77"/>
        <v>0</v>
      </c>
      <c r="MO59" s="213">
        <f t="shared" si="77"/>
        <v>0</v>
      </c>
      <c r="MP59" s="213">
        <f t="shared" si="77"/>
        <v>0</v>
      </c>
      <c r="MQ59" s="213">
        <f t="shared" si="77"/>
        <v>0</v>
      </c>
      <c r="MR59" s="213">
        <f t="shared" si="77"/>
        <v>0</v>
      </c>
      <c r="MS59" s="213">
        <f t="shared" si="77"/>
        <v>0</v>
      </c>
      <c r="MT59" s="213">
        <f t="shared" si="77"/>
        <v>0</v>
      </c>
      <c r="MU59" s="213">
        <f t="shared" si="77"/>
        <v>0</v>
      </c>
      <c r="MV59" s="213">
        <f t="shared" si="77"/>
        <v>0</v>
      </c>
      <c r="MW59" s="213">
        <f t="shared" si="77"/>
        <v>0</v>
      </c>
      <c r="MX59" s="213">
        <f t="shared" si="77"/>
        <v>0</v>
      </c>
      <c r="MY59" s="213"/>
      <c r="MZ59" s="213">
        <f t="shared" si="77"/>
        <v>0</v>
      </c>
      <c r="NA59" s="213"/>
      <c r="NB59" s="213">
        <f t="shared" si="77"/>
        <v>0</v>
      </c>
      <c r="NC59" s="213">
        <f t="shared" si="77"/>
        <v>0</v>
      </c>
    </row>
    <row r="61" spans="1:367" x14ac:dyDescent="0.25">
      <c r="A61" s="204"/>
      <c r="F61" s="213">
        <f>+F8+F9+F10+F11+F12+F16+F17+F18-F20</f>
        <v>0</v>
      </c>
      <c r="G61" s="213">
        <f t="shared" ref="G61:BR61" si="78">+G8+G9+G10+G11+G12+G16+G17+G18-G20</f>
        <v>0</v>
      </c>
      <c r="H61" s="213">
        <f t="shared" si="78"/>
        <v>0</v>
      </c>
      <c r="I61" s="213">
        <f t="shared" si="78"/>
        <v>0</v>
      </c>
      <c r="J61" s="213">
        <f t="shared" si="78"/>
        <v>0</v>
      </c>
      <c r="K61" s="213">
        <f t="shared" si="78"/>
        <v>0</v>
      </c>
      <c r="L61" s="213">
        <f t="shared" si="78"/>
        <v>0</v>
      </c>
      <c r="M61" s="213">
        <f t="shared" si="78"/>
        <v>0</v>
      </c>
      <c r="N61" s="213">
        <f t="shared" si="78"/>
        <v>0</v>
      </c>
      <c r="O61" s="213">
        <f t="shared" si="78"/>
        <v>0</v>
      </c>
      <c r="P61" s="213">
        <f t="shared" si="78"/>
        <v>0</v>
      </c>
      <c r="Q61" s="213">
        <f t="shared" si="78"/>
        <v>0</v>
      </c>
      <c r="R61" s="213">
        <f t="shared" si="78"/>
        <v>0</v>
      </c>
      <c r="S61" s="213">
        <f t="shared" si="78"/>
        <v>0</v>
      </c>
      <c r="T61" s="213">
        <f t="shared" si="78"/>
        <v>0</v>
      </c>
      <c r="U61" s="213">
        <f t="shared" si="78"/>
        <v>0</v>
      </c>
      <c r="V61" s="213">
        <f t="shared" si="78"/>
        <v>0</v>
      </c>
      <c r="W61" s="213">
        <f t="shared" si="78"/>
        <v>0</v>
      </c>
      <c r="X61" s="213">
        <f t="shared" si="78"/>
        <v>0</v>
      </c>
      <c r="Y61" s="213">
        <f t="shared" si="78"/>
        <v>0</v>
      </c>
      <c r="Z61" s="213">
        <f t="shared" si="78"/>
        <v>0</v>
      </c>
      <c r="AA61" s="213">
        <f t="shared" si="78"/>
        <v>0</v>
      </c>
      <c r="AB61" s="213">
        <f t="shared" si="78"/>
        <v>0</v>
      </c>
      <c r="AC61" s="213">
        <f t="shared" si="78"/>
        <v>0</v>
      </c>
      <c r="AD61" s="213">
        <f t="shared" si="78"/>
        <v>0</v>
      </c>
      <c r="AE61" s="213">
        <f t="shared" si="78"/>
        <v>0</v>
      </c>
      <c r="AF61" s="213">
        <f t="shared" si="78"/>
        <v>0</v>
      </c>
      <c r="AG61" s="213">
        <f t="shared" si="78"/>
        <v>0</v>
      </c>
      <c r="AH61" s="213">
        <f t="shared" si="78"/>
        <v>0</v>
      </c>
      <c r="AI61" s="213">
        <f t="shared" si="78"/>
        <v>0</v>
      </c>
      <c r="AJ61" s="213">
        <f t="shared" si="78"/>
        <v>0</v>
      </c>
      <c r="AK61" s="213">
        <f t="shared" si="78"/>
        <v>0</v>
      </c>
      <c r="AL61" s="213">
        <f t="shared" si="78"/>
        <v>0</v>
      </c>
      <c r="AM61" s="213">
        <f t="shared" si="78"/>
        <v>0</v>
      </c>
      <c r="AN61" s="213">
        <f t="shared" si="78"/>
        <v>0</v>
      </c>
      <c r="AO61" s="213">
        <f t="shared" si="78"/>
        <v>0</v>
      </c>
      <c r="AP61" s="213">
        <f t="shared" si="78"/>
        <v>0</v>
      </c>
      <c r="AQ61" s="213">
        <f t="shared" si="78"/>
        <v>0</v>
      </c>
      <c r="AR61" s="213">
        <f t="shared" si="78"/>
        <v>0</v>
      </c>
      <c r="AS61" s="213">
        <f t="shared" si="78"/>
        <v>0</v>
      </c>
      <c r="AT61" s="213">
        <f t="shared" si="78"/>
        <v>0</v>
      </c>
      <c r="AU61" s="213">
        <f t="shared" si="78"/>
        <v>0</v>
      </c>
      <c r="AV61" s="213">
        <f t="shared" si="78"/>
        <v>0</v>
      </c>
      <c r="AW61" s="213">
        <f t="shared" si="78"/>
        <v>0</v>
      </c>
      <c r="AX61" s="213">
        <f t="shared" si="78"/>
        <v>0</v>
      </c>
      <c r="AY61" s="213">
        <f t="shared" si="78"/>
        <v>0</v>
      </c>
      <c r="AZ61" s="213">
        <f t="shared" si="78"/>
        <v>0</v>
      </c>
      <c r="BA61" s="213">
        <f t="shared" si="78"/>
        <v>0</v>
      </c>
      <c r="BB61" s="213">
        <f t="shared" si="78"/>
        <v>0</v>
      </c>
      <c r="BC61" s="213">
        <f t="shared" si="78"/>
        <v>0</v>
      </c>
      <c r="BD61" s="213">
        <f t="shared" si="78"/>
        <v>0</v>
      </c>
      <c r="BE61" s="213">
        <f t="shared" si="78"/>
        <v>0</v>
      </c>
      <c r="BF61" s="213">
        <f t="shared" si="78"/>
        <v>0</v>
      </c>
      <c r="BG61" s="213">
        <f t="shared" si="78"/>
        <v>0</v>
      </c>
      <c r="BH61" s="213">
        <f t="shared" si="78"/>
        <v>0</v>
      </c>
      <c r="BI61" s="213">
        <f t="shared" si="78"/>
        <v>0</v>
      </c>
      <c r="BJ61" s="213">
        <f t="shared" si="78"/>
        <v>0</v>
      </c>
      <c r="BK61" s="213">
        <f t="shared" si="78"/>
        <v>0</v>
      </c>
      <c r="BL61" s="213">
        <f t="shared" si="78"/>
        <v>0</v>
      </c>
      <c r="BM61" s="213">
        <f t="shared" si="78"/>
        <v>0</v>
      </c>
      <c r="BN61" s="213">
        <f t="shared" si="78"/>
        <v>0</v>
      </c>
      <c r="BO61" s="213">
        <f t="shared" si="78"/>
        <v>0</v>
      </c>
      <c r="BP61" s="213">
        <f t="shared" si="78"/>
        <v>0</v>
      </c>
      <c r="BQ61" s="213">
        <f t="shared" si="78"/>
        <v>0</v>
      </c>
      <c r="BR61" s="213">
        <f t="shared" si="78"/>
        <v>0</v>
      </c>
      <c r="BS61" s="213">
        <f t="shared" ref="BS61:ED61" si="79">+BS8+BS9+BS10+BS11+BS12+BS16+BS17+BS18-BS20</f>
        <v>0</v>
      </c>
      <c r="BT61" s="213">
        <f t="shared" si="79"/>
        <v>0</v>
      </c>
      <c r="BU61" s="213">
        <f t="shared" si="79"/>
        <v>0</v>
      </c>
      <c r="BV61" s="213">
        <f t="shared" si="79"/>
        <v>0</v>
      </c>
      <c r="BW61" s="213">
        <f t="shared" si="79"/>
        <v>0</v>
      </c>
      <c r="BX61" s="213">
        <f t="shared" si="79"/>
        <v>0</v>
      </c>
      <c r="BY61" s="213">
        <f t="shared" si="79"/>
        <v>0</v>
      </c>
      <c r="BZ61" s="213">
        <f t="shared" si="79"/>
        <v>0</v>
      </c>
      <c r="CA61" s="213">
        <f t="shared" si="79"/>
        <v>0</v>
      </c>
      <c r="CB61" s="213">
        <f t="shared" si="79"/>
        <v>0</v>
      </c>
      <c r="CC61" s="213">
        <f t="shared" si="79"/>
        <v>0</v>
      </c>
      <c r="CD61" s="213">
        <f t="shared" si="79"/>
        <v>0</v>
      </c>
      <c r="CE61" s="213">
        <f t="shared" si="79"/>
        <v>0</v>
      </c>
      <c r="CF61" s="213">
        <f t="shared" si="79"/>
        <v>0</v>
      </c>
      <c r="CG61" s="213">
        <f t="shared" si="79"/>
        <v>0</v>
      </c>
      <c r="CH61" s="213">
        <f t="shared" si="79"/>
        <v>0</v>
      </c>
      <c r="CI61" s="213">
        <f t="shared" si="79"/>
        <v>0</v>
      </c>
      <c r="CJ61" s="213">
        <f t="shared" si="79"/>
        <v>0</v>
      </c>
      <c r="CK61" s="213">
        <f t="shared" si="79"/>
        <v>0</v>
      </c>
      <c r="CL61" s="213">
        <f t="shared" si="79"/>
        <v>0</v>
      </c>
      <c r="CM61" s="213">
        <f t="shared" si="79"/>
        <v>0</v>
      </c>
      <c r="CN61" s="213">
        <f t="shared" si="79"/>
        <v>0</v>
      </c>
      <c r="CO61" s="213">
        <f t="shared" si="79"/>
        <v>0</v>
      </c>
      <c r="CP61" s="213">
        <f t="shared" si="79"/>
        <v>0</v>
      </c>
      <c r="CQ61" s="213">
        <f t="shared" si="79"/>
        <v>0</v>
      </c>
      <c r="CR61" s="213">
        <f t="shared" si="79"/>
        <v>0</v>
      </c>
      <c r="CS61" s="213">
        <f t="shared" si="79"/>
        <v>0</v>
      </c>
      <c r="CT61" s="213">
        <f t="shared" si="79"/>
        <v>0</v>
      </c>
      <c r="CU61" s="213">
        <f t="shared" si="79"/>
        <v>0</v>
      </c>
      <c r="CV61" s="213">
        <f t="shared" si="79"/>
        <v>0</v>
      </c>
      <c r="CW61" s="213">
        <f t="shared" si="79"/>
        <v>0</v>
      </c>
      <c r="CX61" s="213">
        <f t="shared" si="79"/>
        <v>0</v>
      </c>
      <c r="CY61" s="213">
        <f t="shared" si="79"/>
        <v>0</v>
      </c>
      <c r="CZ61" s="213">
        <f t="shared" si="79"/>
        <v>0</v>
      </c>
      <c r="DA61" s="213">
        <f t="shared" si="79"/>
        <v>0</v>
      </c>
      <c r="DB61" s="213">
        <f t="shared" si="79"/>
        <v>0</v>
      </c>
      <c r="DC61" s="213">
        <f t="shared" si="79"/>
        <v>0</v>
      </c>
      <c r="DD61" s="213">
        <f t="shared" si="79"/>
        <v>0</v>
      </c>
      <c r="DE61" s="213">
        <f t="shared" si="79"/>
        <v>0</v>
      </c>
      <c r="DF61" s="213">
        <f t="shared" si="79"/>
        <v>0</v>
      </c>
      <c r="DG61" s="213">
        <f t="shared" si="79"/>
        <v>0</v>
      </c>
      <c r="DH61" s="213">
        <f t="shared" si="79"/>
        <v>0</v>
      </c>
      <c r="DI61" s="213">
        <f t="shared" si="79"/>
        <v>0</v>
      </c>
      <c r="DJ61" s="213">
        <f t="shared" si="79"/>
        <v>0</v>
      </c>
      <c r="DK61" s="213">
        <f t="shared" si="79"/>
        <v>0</v>
      </c>
      <c r="DL61" s="213">
        <f t="shared" si="79"/>
        <v>0</v>
      </c>
      <c r="DM61" s="213">
        <f t="shared" si="79"/>
        <v>0</v>
      </c>
      <c r="DN61" s="213">
        <f t="shared" si="79"/>
        <v>0</v>
      </c>
      <c r="DO61" s="213">
        <f t="shared" si="79"/>
        <v>0</v>
      </c>
      <c r="DP61" s="213">
        <f t="shared" si="79"/>
        <v>0</v>
      </c>
      <c r="DQ61" s="213">
        <f t="shared" si="79"/>
        <v>0</v>
      </c>
      <c r="DR61" s="213">
        <f t="shared" si="79"/>
        <v>0</v>
      </c>
      <c r="DS61" s="213">
        <f t="shared" si="79"/>
        <v>0</v>
      </c>
      <c r="DT61" s="213">
        <f t="shared" si="79"/>
        <v>0</v>
      </c>
      <c r="DU61" s="213">
        <f t="shared" si="79"/>
        <v>0</v>
      </c>
      <c r="DV61" s="213">
        <f t="shared" si="79"/>
        <v>0</v>
      </c>
      <c r="DW61" s="213">
        <f t="shared" si="79"/>
        <v>0</v>
      </c>
      <c r="DX61" s="213">
        <f t="shared" si="79"/>
        <v>0</v>
      </c>
      <c r="DY61" s="213">
        <f t="shared" si="79"/>
        <v>0</v>
      </c>
      <c r="DZ61" s="213">
        <f t="shared" si="79"/>
        <v>0</v>
      </c>
      <c r="EA61" s="213">
        <f t="shared" si="79"/>
        <v>0</v>
      </c>
      <c r="EB61" s="213">
        <f t="shared" si="79"/>
        <v>0</v>
      </c>
      <c r="EC61" s="213">
        <f t="shared" si="79"/>
        <v>0</v>
      </c>
      <c r="ED61" s="213">
        <f t="shared" si="79"/>
        <v>0</v>
      </c>
      <c r="EE61" s="213">
        <f t="shared" ref="EE61:GS61" si="80">+EE8+EE9+EE10+EE11+EE12+EE16+EE17+EE18-EE20</f>
        <v>0</v>
      </c>
      <c r="EF61" s="213">
        <f t="shared" si="80"/>
        <v>0</v>
      </c>
      <c r="EG61" s="213">
        <f t="shared" si="80"/>
        <v>0</v>
      </c>
      <c r="EH61" s="213">
        <f t="shared" si="80"/>
        <v>0</v>
      </c>
      <c r="EI61" s="213">
        <f t="shared" si="80"/>
        <v>0</v>
      </c>
      <c r="EJ61" s="213">
        <f t="shared" si="80"/>
        <v>0</v>
      </c>
      <c r="EK61" s="213">
        <f t="shared" si="80"/>
        <v>0</v>
      </c>
      <c r="EL61" s="213">
        <f t="shared" si="80"/>
        <v>0</v>
      </c>
      <c r="EM61" s="213">
        <f t="shared" si="80"/>
        <v>0</v>
      </c>
      <c r="EN61" s="213">
        <f t="shared" si="80"/>
        <v>0</v>
      </c>
      <c r="EO61" s="213">
        <f t="shared" si="80"/>
        <v>0</v>
      </c>
      <c r="EP61" s="213">
        <f t="shared" si="80"/>
        <v>0</v>
      </c>
      <c r="EQ61" s="213">
        <f t="shared" si="80"/>
        <v>0</v>
      </c>
      <c r="ER61" s="213">
        <f t="shared" si="80"/>
        <v>0</v>
      </c>
      <c r="ES61" s="213">
        <f t="shared" si="80"/>
        <v>0</v>
      </c>
      <c r="ET61" s="213">
        <f t="shared" si="80"/>
        <v>0</v>
      </c>
      <c r="EU61" s="213">
        <f t="shared" si="80"/>
        <v>0</v>
      </c>
      <c r="EV61" s="213">
        <f t="shared" si="80"/>
        <v>0</v>
      </c>
      <c r="EW61" s="213">
        <f t="shared" si="80"/>
        <v>0</v>
      </c>
      <c r="EX61" s="213">
        <f t="shared" si="80"/>
        <v>0</v>
      </c>
      <c r="EY61" s="213">
        <f t="shared" si="80"/>
        <v>0</v>
      </c>
      <c r="EZ61" s="213">
        <f t="shared" si="80"/>
        <v>0</v>
      </c>
      <c r="FA61" s="213">
        <f t="shared" si="80"/>
        <v>0</v>
      </c>
      <c r="FB61" s="213">
        <f t="shared" si="80"/>
        <v>0</v>
      </c>
      <c r="FC61" s="213">
        <f t="shared" si="80"/>
        <v>0</v>
      </c>
      <c r="FD61" s="213">
        <f t="shared" si="80"/>
        <v>0</v>
      </c>
      <c r="FE61" s="213">
        <f t="shared" si="80"/>
        <v>0</v>
      </c>
      <c r="FF61" s="213">
        <f t="shared" si="80"/>
        <v>0</v>
      </c>
      <c r="FG61" s="213">
        <f t="shared" si="80"/>
        <v>0</v>
      </c>
      <c r="FH61" s="213">
        <f t="shared" si="80"/>
        <v>0</v>
      </c>
      <c r="FI61" s="213">
        <f t="shared" si="80"/>
        <v>0</v>
      </c>
      <c r="FJ61" s="213">
        <f t="shared" si="80"/>
        <v>0</v>
      </c>
      <c r="FK61" s="213">
        <f t="shared" si="80"/>
        <v>0</v>
      </c>
      <c r="FL61" s="213">
        <f t="shared" si="80"/>
        <v>0</v>
      </c>
      <c r="FM61" s="213">
        <f t="shared" si="80"/>
        <v>0</v>
      </c>
      <c r="FN61" s="213">
        <f t="shared" si="80"/>
        <v>0</v>
      </c>
      <c r="FO61" s="213">
        <f t="shared" si="80"/>
        <v>0</v>
      </c>
      <c r="FP61" s="213">
        <f t="shared" si="80"/>
        <v>0</v>
      </c>
      <c r="FQ61" s="213">
        <f t="shared" si="80"/>
        <v>0</v>
      </c>
      <c r="FR61" s="213">
        <f t="shared" si="80"/>
        <v>0</v>
      </c>
      <c r="FS61" s="213">
        <f t="shared" si="80"/>
        <v>0</v>
      </c>
      <c r="FT61" s="213">
        <f t="shared" si="80"/>
        <v>0</v>
      </c>
      <c r="FU61" s="213">
        <f t="shared" si="80"/>
        <v>0</v>
      </c>
      <c r="FV61" s="213">
        <f t="shared" si="80"/>
        <v>0</v>
      </c>
      <c r="FW61" s="213">
        <f t="shared" si="80"/>
        <v>0</v>
      </c>
      <c r="FX61" s="213">
        <f t="shared" si="80"/>
        <v>0</v>
      </c>
      <c r="FY61" s="213">
        <f t="shared" si="80"/>
        <v>0</v>
      </c>
      <c r="FZ61" s="213">
        <f t="shared" si="80"/>
        <v>0</v>
      </c>
      <c r="GA61" s="213">
        <f t="shared" si="80"/>
        <v>0</v>
      </c>
      <c r="GB61" s="213">
        <f t="shared" si="80"/>
        <v>0</v>
      </c>
      <c r="GC61" s="213">
        <f t="shared" si="80"/>
        <v>0</v>
      </c>
      <c r="GD61" s="213">
        <f t="shared" si="80"/>
        <v>0</v>
      </c>
      <c r="GE61" s="213">
        <f t="shared" si="80"/>
        <v>0</v>
      </c>
      <c r="GF61" s="213">
        <f t="shared" si="80"/>
        <v>0</v>
      </c>
      <c r="GG61" s="213">
        <f t="shared" si="80"/>
        <v>0</v>
      </c>
      <c r="GH61" s="213">
        <f t="shared" si="80"/>
        <v>0</v>
      </c>
      <c r="GI61" s="213">
        <f t="shared" si="80"/>
        <v>0</v>
      </c>
      <c r="GJ61" s="213">
        <f t="shared" si="80"/>
        <v>0</v>
      </c>
      <c r="GK61" s="213"/>
      <c r="GL61" s="213"/>
      <c r="GM61" s="213"/>
      <c r="GN61" s="213">
        <f t="shared" si="80"/>
        <v>0</v>
      </c>
      <c r="GO61" s="213">
        <f t="shared" si="80"/>
        <v>0</v>
      </c>
      <c r="GP61" s="213">
        <f t="shared" si="80"/>
        <v>0</v>
      </c>
      <c r="GQ61" s="213">
        <f t="shared" si="80"/>
        <v>0</v>
      </c>
      <c r="GR61" s="213">
        <f t="shared" si="80"/>
        <v>0</v>
      </c>
      <c r="GS61" s="213">
        <f t="shared" si="80"/>
        <v>0</v>
      </c>
      <c r="GT61" s="213"/>
      <c r="GU61" s="213"/>
      <c r="GV61" s="213"/>
      <c r="GW61" s="213">
        <f t="shared" ref="GW61:JH61" si="81">+GW8+GW9+GW10+GW11+GW12+GW16+GW17+GW18-GW20</f>
        <v>0</v>
      </c>
      <c r="GX61" s="213">
        <f t="shared" si="81"/>
        <v>0</v>
      </c>
      <c r="GY61" s="213">
        <f t="shared" si="81"/>
        <v>0</v>
      </c>
      <c r="GZ61" s="213">
        <f t="shared" si="81"/>
        <v>0</v>
      </c>
      <c r="HA61" s="213">
        <f t="shared" si="81"/>
        <v>0</v>
      </c>
      <c r="HB61" s="213">
        <f t="shared" si="81"/>
        <v>0</v>
      </c>
      <c r="HC61" s="213">
        <f t="shared" si="81"/>
        <v>0</v>
      </c>
      <c r="HD61" s="213">
        <f t="shared" si="81"/>
        <v>0</v>
      </c>
      <c r="HE61" s="213">
        <f t="shared" si="81"/>
        <v>0</v>
      </c>
      <c r="HF61" s="213">
        <f t="shared" si="81"/>
        <v>0</v>
      </c>
      <c r="HG61" s="213">
        <f t="shared" si="81"/>
        <v>0</v>
      </c>
      <c r="HH61" s="213">
        <f t="shared" si="81"/>
        <v>0</v>
      </c>
      <c r="HI61" s="213">
        <f t="shared" si="81"/>
        <v>0</v>
      </c>
      <c r="HJ61" s="213">
        <f t="shared" si="81"/>
        <v>0</v>
      </c>
      <c r="HK61" s="213">
        <f t="shared" si="81"/>
        <v>0</v>
      </c>
      <c r="HL61" s="213">
        <f t="shared" si="81"/>
        <v>0</v>
      </c>
      <c r="HM61" s="213">
        <f t="shared" si="81"/>
        <v>0</v>
      </c>
      <c r="HN61" s="213">
        <f t="shared" si="81"/>
        <v>0</v>
      </c>
      <c r="HO61" s="213">
        <f t="shared" si="81"/>
        <v>0</v>
      </c>
      <c r="HP61" s="213">
        <f t="shared" si="81"/>
        <v>0</v>
      </c>
      <c r="HQ61" s="213">
        <f t="shared" si="81"/>
        <v>0</v>
      </c>
      <c r="HR61" s="213">
        <f t="shared" si="81"/>
        <v>0</v>
      </c>
      <c r="HS61" s="213">
        <f t="shared" si="81"/>
        <v>0</v>
      </c>
      <c r="HT61" s="213">
        <f t="shared" si="81"/>
        <v>0</v>
      </c>
      <c r="HU61" s="213">
        <f t="shared" si="81"/>
        <v>0</v>
      </c>
      <c r="HV61" s="213">
        <f t="shared" si="81"/>
        <v>0</v>
      </c>
      <c r="HW61" s="213">
        <f t="shared" si="81"/>
        <v>0</v>
      </c>
      <c r="HX61" s="213">
        <f t="shared" si="81"/>
        <v>0</v>
      </c>
      <c r="HY61" s="213">
        <f t="shared" si="81"/>
        <v>0</v>
      </c>
      <c r="HZ61" s="213">
        <f t="shared" si="81"/>
        <v>0</v>
      </c>
      <c r="IA61" s="213">
        <f t="shared" si="81"/>
        <v>0</v>
      </c>
      <c r="IB61" s="213">
        <f t="shared" si="81"/>
        <v>0</v>
      </c>
      <c r="IC61" s="213">
        <f t="shared" si="81"/>
        <v>0</v>
      </c>
      <c r="ID61" s="213">
        <f t="shared" si="81"/>
        <v>0</v>
      </c>
      <c r="IE61" s="213">
        <f t="shared" si="81"/>
        <v>0</v>
      </c>
      <c r="IF61" s="213">
        <f t="shared" si="81"/>
        <v>0</v>
      </c>
      <c r="IG61" s="213">
        <f t="shared" si="81"/>
        <v>0</v>
      </c>
      <c r="IH61" s="213">
        <f t="shared" si="81"/>
        <v>0</v>
      </c>
      <c r="II61" s="213">
        <f t="shared" si="81"/>
        <v>0</v>
      </c>
      <c r="IJ61" s="213">
        <f t="shared" si="81"/>
        <v>0</v>
      </c>
      <c r="IK61" s="213">
        <f t="shared" si="81"/>
        <v>0</v>
      </c>
      <c r="IL61" s="213">
        <f t="shared" si="81"/>
        <v>0</v>
      </c>
      <c r="IM61" s="213">
        <f t="shared" si="81"/>
        <v>0</v>
      </c>
      <c r="IN61" s="213">
        <f t="shared" si="81"/>
        <v>0</v>
      </c>
      <c r="IO61" s="213">
        <f t="shared" si="81"/>
        <v>0</v>
      </c>
      <c r="IP61" s="213">
        <f t="shared" si="81"/>
        <v>0</v>
      </c>
      <c r="IQ61" s="213">
        <f t="shared" si="81"/>
        <v>0</v>
      </c>
      <c r="IR61" s="213">
        <f t="shared" si="81"/>
        <v>0</v>
      </c>
      <c r="IS61" s="213">
        <f t="shared" si="81"/>
        <v>0</v>
      </c>
      <c r="IT61" s="213">
        <f t="shared" si="81"/>
        <v>0</v>
      </c>
      <c r="IU61" s="213">
        <f t="shared" si="81"/>
        <v>0</v>
      </c>
      <c r="IV61" s="213">
        <f t="shared" si="81"/>
        <v>0</v>
      </c>
      <c r="IW61" s="213">
        <f t="shared" si="81"/>
        <v>0</v>
      </c>
      <c r="IX61" s="213">
        <f t="shared" si="81"/>
        <v>0</v>
      </c>
      <c r="IY61" s="213">
        <f t="shared" si="81"/>
        <v>0</v>
      </c>
      <c r="IZ61" s="213">
        <f t="shared" si="81"/>
        <v>0</v>
      </c>
      <c r="JA61" s="213">
        <f t="shared" si="81"/>
        <v>0</v>
      </c>
      <c r="JB61" s="213">
        <f t="shared" si="81"/>
        <v>0</v>
      </c>
      <c r="JC61" s="213">
        <f t="shared" si="81"/>
        <v>0</v>
      </c>
      <c r="JD61" s="213">
        <f t="shared" si="81"/>
        <v>0</v>
      </c>
      <c r="JE61" s="213">
        <f t="shared" si="81"/>
        <v>0</v>
      </c>
      <c r="JF61" s="213">
        <f t="shared" si="81"/>
        <v>0</v>
      </c>
      <c r="JG61" s="213">
        <f t="shared" si="81"/>
        <v>0</v>
      </c>
      <c r="JH61" s="213">
        <f t="shared" si="81"/>
        <v>0</v>
      </c>
      <c r="JI61" s="213">
        <f t="shared" ref="JI61:LT61" si="82">+JI8+JI9+JI10+JI11+JI12+JI16+JI17+JI18-JI20</f>
        <v>0</v>
      </c>
      <c r="JJ61" s="213">
        <f t="shared" si="82"/>
        <v>0</v>
      </c>
      <c r="JK61" s="213">
        <f t="shared" si="82"/>
        <v>0</v>
      </c>
      <c r="JL61" s="213">
        <f t="shared" si="82"/>
        <v>0</v>
      </c>
      <c r="JM61" s="213">
        <f t="shared" si="82"/>
        <v>0</v>
      </c>
      <c r="JN61" s="213">
        <f t="shared" si="82"/>
        <v>0</v>
      </c>
      <c r="JO61" s="213">
        <f t="shared" si="82"/>
        <v>0</v>
      </c>
      <c r="JP61" s="213">
        <f t="shared" si="82"/>
        <v>0</v>
      </c>
      <c r="JQ61" s="213">
        <f t="shared" si="82"/>
        <v>0</v>
      </c>
      <c r="JR61" s="213">
        <f t="shared" si="82"/>
        <v>0</v>
      </c>
      <c r="JS61" s="213">
        <f t="shared" si="82"/>
        <v>0</v>
      </c>
      <c r="JT61" s="213">
        <f t="shared" si="82"/>
        <v>0</v>
      </c>
      <c r="JU61" s="213">
        <f t="shared" si="82"/>
        <v>0</v>
      </c>
      <c r="JV61" s="213">
        <f t="shared" si="82"/>
        <v>0</v>
      </c>
      <c r="JW61" s="213">
        <f t="shared" si="82"/>
        <v>0</v>
      </c>
      <c r="JX61" s="213">
        <f t="shared" si="82"/>
        <v>0</v>
      </c>
      <c r="JY61" s="213">
        <f t="shared" si="82"/>
        <v>0</v>
      </c>
      <c r="JZ61" s="213">
        <f t="shared" si="82"/>
        <v>0</v>
      </c>
      <c r="KA61" s="213">
        <f t="shared" si="82"/>
        <v>0</v>
      </c>
      <c r="KB61" s="213">
        <f t="shared" si="82"/>
        <v>0</v>
      </c>
      <c r="KC61" s="213">
        <f t="shared" si="82"/>
        <v>0</v>
      </c>
      <c r="KD61" s="213">
        <f t="shared" si="82"/>
        <v>0</v>
      </c>
      <c r="KE61" s="213">
        <f t="shared" si="82"/>
        <v>0</v>
      </c>
      <c r="KF61" s="213">
        <f t="shared" si="82"/>
        <v>0</v>
      </c>
      <c r="KG61" s="213">
        <f t="shared" si="82"/>
        <v>0</v>
      </c>
      <c r="KH61" s="213">
        <f t="shared" si="82"/>
        <v>0</v>
      </c>
      <c r="KI61" s="213">
        <f t="shared" si="82"/>
        <v>0</v>
      </c>
      <c r="KJ61" s="213">
        <f t="shared" si="82"/>
        <v>0</v>
      </c>
      <c r="KK61" s="213">
        <f t="shared" si="82"/>
        <v>0</v>
      </c>
      <c r="KL61" s="213">
        <f t="shared" si="82"/>
        <v>0</v>
      </c>
      <c r="KM61" s="213">
        <f t="shared" si="82"/>
        <v>0</v>
      </c>
      <c r="KN61" s="213">
        <f t="shared" si="82"/>
        <v>0</v>
      </c>
      <c r="KO61" s="213">
        <f t="shared" si="82"/>
        <v>0</v>
      </c>
      <c r="KP61" s="213">
        <f t="shared" si="82"/>
        <v>0</v>
      </c>
      <c r="KQ61" s="213">
        <f t="shared" si="82"/>
        <v>0</v>
      </c>
      <c r="KR61" s="213">
        <f t="shared" si="82"/>
        <v>0</v>
      </c>
      <c r="KS61" s="213">
        <f t="shared" si="82"/>
        <v>0</v>
      </c>
      <c r="KT61" s="213">
        <f t="shared" si="82"/>
        <v>0</v>
      </c>
      <c r="KU61" s="213">
        <f t="shared" si="82"/>
        <v>0</v>
      </c>
      <c r="KV61" s="213">
        <f t="shared" si="82"/>
        <v>0</v>
      </c>
      <c r="KW61" s="213">
        <f t="shared" si="82"/>
        <v>0</v>
      </c>
      <c r="KX61" s="213">
        <f t="shared" si="82"/>
        <v>0</v>
      </c>
      <c r="KY61" s="213">
        <f t="shared" si="82"/>
        <v>0</v>
      </c>
      <c r="KZ61" s="213">
        <f t="shared" si="82"/>
        <v>0</v>
      </c>
      <c r="LA61" s="213">
        <f t="shared" si="82"/>
        <v>0</v>
      </c>
      <c r="LB61" s="213">
        <f t="shared" si="82"/>
        <v>0</v>
      </c>
      <c r="LC61" s="213">
        <f t="shared" si="82"/>
        <v>0</v>
      </c>
      <c r="LD61" s="213">
        <f t="shared" si="82"/>
        <v>0</v>
      </c>
      <c r="LE61" s="213">
        <f t="shared" si="82"/>
        <v>0</v>
      </c>
      <c r="LF61" s="213">
        <f t="shared" si="82"/>
        <v>0</v>
      </c>
      <c r="LG61" s="213">
        <f t="shared" si="82"/>
        <v>0</v>
      </c>
      <c r="LH61" s="213">
        <f t="shared" si="82"/>
        <v>0</v>
      </c>
      <c r="LI61" s="213">
        <f t="shared" si="82"/>
        <v>0</v>
      </c>
      <c r="LJ61" s="213">
        <f t="shared" si="82"/>
        <v>0</v>
      </c>
      <c r="LK61" s="213">
        <f t="shared" si="82"/>
        <v>0</v>
      </c>
      <c r="LL61" s="213">
        <f t="shared" si="82"/>
        <v>0</v>
      </c>
      <c r="LM61" s="213">
        <f t="shared" si="82"/>
        <v>0</v>
      </c>
      <c r="LN61" s="213">
        <f t="shared" si="82"/>
        <v>0</v>
      </c>
      <c r="LO61" s="213">
        <f t="shared" si="82"/>
        <v>0</v>
      </c>
      <c r="LP61" s="213">
        <f t="shared" si="82"/>
        <v>0</v>
      </c>
      <c r="LQ61" s="213">
        <f t="shared" si="82"/>
        <v>0</v>
      </c>
      <c r="LR61" s="213">
        <f t="shared" si="82"/>
        <v>0</v>
      </c>
      <c r="LS61" s="213">
        <f t="shared" si="82"/>
        <v>0</v>
      </c>
      <c r="LT61" s="213">
        <f t="shared" si="82"/>
        <v>0</v>
      </c>
      <c r="LU61" s="213">
        <f t="shared" ref="LU61:NC61" si="83">+LU8+LU9+LU10+LU11+LU12+LU16+LU17+LU18-LU20</f>
        <v>0</v>
      </c>
      <c r="LV61" s="213">
        <f t="shared" si="83"/>
        <v>0</v>
      </c>
      <c r="LW61" s="213">
        <f t="shared" si="83"/>
        <v>0</v>
      </c>
      <c r="LX61" s="213">
        <f t="shared" si="83"/>
        <v>0</v>
      </c>
      <c r="LY61" s="213">
        <f t="shared" si="83"/>
        <v>0</v>
      </c>
      <c r="LZ61" s="213">
        <f t="shared" si="83"/>
        <v>0</v>
      </c>
      <c r="MA61" s="213">
        <f t="shared" si="83"/>
        <v>0</v>
      </c>
      <c r="MB61" s="213">
        <f t="shared" si="83"/>
        <v>0</v>
      </c>
      <c r="MC61" s="213">
        <f t="shared" si="83"/>
        <v>0</v>
      </c>
      <c r="MD61" s="213">
        <f t="shared" si="83"/>
        <v>0</v>
      </c>
      <c r="ME61" s="213">
        <f t="shared" si="83"/>
        <v>0</v>
      </c>
      <c r="MF61" s="213">
        <f t="shared" si="83"/>
        <v>0</v>
      </c>
      <c r="MG61" s="213">
        <f t="shared" si="83"/>
        <v>0</v>
      </c>
      <c r="MH61" s="213">
        <f t="shared" si="83"/>
        <v>0</v>
      </c>
      <c r="MI61" s="213">
        <f t="shared" si="83"/>
        <v>0</v>
      </c>
      <c r="MJ61" s="213">
        <f t="shared" si="83"/>
        <v>0</v>
      </c>
      <c r="MK61" s="213">
        <f t="shared" si="83"/>
        <v>0</v>
      </c>
      <c r="ML61" s="213">
        <f t="shared" si="83"/>
        <v>0</v>
      </c>
      <c r="MM61" s="213">
        <f t="shared" si="83"/>
        <v>0</v>
      </c>
      <c r="MN61" s="213">
        <f t="shared" si="83"/>
        <v>0</v>
      </c>
      <c r="MO61" s="213">
        <f t="shared" si="83"/>
        <v>0</v>
      </c>
      <c r="MP61" s="213">
        <f t="shared" si="83"/>
        <v>0</v>
      </c>
      <c r="MQ61" s="213">
        <f t="shared" si="83"/>
        <v>0</v>
      </c>
      <c r="MR61" s="213">
        <f t="shared" si="83"/>
        <v>0</v>
      </c>
      <c r="MS61" s="213">
        <f t="shared" si="83"/>
        <v>0</v>
      </c>
      <c r="MT61" s="213">
        <f t="shared" si="83"/>
        <v>0</v>
      </c>
      <c r="MU61" s="213">
        <f t="shared" si="83"/>
        <v>0</v>
      </c>
      <c r="MV61" s="213">
        <f t="shared" si="83"/>
        <v>0</v>
      </c>
      <c r="MW61" s="213">
        <f t="shared" si="83"/>
        <v>0</v>
      </c>
      <c r="MX61" s="213">
        <f t="shared" si="83"/>
        <v>0</v>
      </c>
      <c r="MY61" s="213"/>
      <c r="MZ61" s="213">
        <f t="shared" si="83"/>
        <v>0</v>
      </c>
      <c r="NA61" s="213"/>
      <c r="NB61" s="213">
        <f t="shared" si="83"/>
        <v>0</v>
      </c>
      <c r="NC61" s="213">
        <f t="shared" si="83"/>
        <v>0</v>
      </c>
    </row>
  </sheetData>
  <mergeCells count="365">
    <mergeCell ref="MP5:MR6"/>
    <mergeCell ref="MS5:MU6"/>
    <mergeCell ref="MV5:MX6"/>
    <mergeCell ref="KB5:KD6"/>
    <mergeCell ref="KE5:KG6"/>
    <mergeCell ref="KH5:KJ6"/>
    <mergeCell ref="KK5:KM6"/>
    <mergeCell ref="KN5:KP6"/>
    <mergeCell ref="KQ5:KS6"/>
    <mergeCell ref="KT5:KV6"/>
    <mergeCell ref="KW5:KY6"/>
    <mergeCell ref="KZ5:LB6"/>
    <mergeCell ref="LF5:LH6"/>
    <mergeCell ref="LI5:LK6"/>
    <mergeCell ref="LL5:LN6"/>
    <mergeCell ref="LO5:LQ6"/>
    <mergeCell ref="LR5:LT6"/>
    <mergeCell ref="LU5:LW6"/>
    <mergeCell ref="LX5:LZ6"/>
    <mergeCell ref="MA5:MC6"/>
    <mergeCell ref="MD5:MF6"/>
    <mergeCell ref="MG5:MI6"/>
    <mergeCell ref="MJ5:ML6"/>
    <mergeCell ref="JD5:JF6"/>
    <mergeCell ref="JG5:JI6"/>
    <mergeCell ref="JJ5:JL6"/>
    <mergeCell ref="JM5:JO6"/>
    <mergeCell ref="JP5:JR6"/>
    <mergeCell ref="JS5:JU6"/>
    <mergeCell ref="JV5:JX6"/>
    <mergeCell ref="JY5:KA6"/>
    <mergeCell ref="MM5:MO6"/>
    <mergeCell ref="LC5:LE6"/>
    <mergeCell ref="GH5:GJ6"/>
    <mergeCell ref="GN5:GP6"/>
    <mergeCell ref="GQ5:GS6"/>
    <mergeCell ref="GW5:GY6"/>
    <mergeCell ref="GZ5:HB6"/>
    <mergeCell ref="HC5:HE6"/>
    <mergeCell ref="HF5:HH6"/>
    <mergeCell ref="HI5:HK6"/>
    <mergeCell ref="JA5:JC6"/>
    <mergeCell ref="HO5:HQ6"/>
    <mergeCell ref="HR5:HT6"/>
    <mergeCell ref="IO5:IQ6"/>
    <mergeCell ref="IR5:IT6"/>
    <mergeCell ref="IU5:IW6"/>
    <mergeCell ref="IX5:IZ6"/>
    <mergeCell ref="II5:IK6"/>
    <mergeCell ref="IL5:IN6"/>
    <mergeCell ref="HL5:HN6"/>
    <mergeCell ref="GK5:GM6"/>
    <mergeCell ref="GT5:GV6"/>
    <mergeCell ref="BF5:BH6"/>
    <mergeCell ref="A2:C2"/>
    <mergeCell ref="A3:A6"/>
    <mergeCell ref="B3:C3"/>
    <mergeCell ref="B4:C4"/>
    <mergeCell ref="B5:C5"/>
    <mergeCell ref="IH5:IH6"/>
    <mergeCell ref="DT5:DV6"/>
    <mergeCell ref="DW5:DY6"/>
    <mergeCell ref="DZ5:EB6"/>
    <mergeCell ref="EC5:EE6"/>
    <mergeCell ref="EF5:EH6"/>
    <mergeCell ref="EI5:EK6"/>
    <mergeCell ref="EL5:EN6"/>
    <mergeCell ref="DH5:DJ6"/>
    <mergeCell ref="DK5:DM6"/>
    <mergeCell ref="DN5:DP6"/>
    <mergeCell ref="GE5:GG6"/>
    <mergeCell ref="DQ5:DS6"/>
    <mergeCell ref="IG5:IG6"/>
    <mergeCell ref="HU5:HW6"/>
    <mergeCell ref="HX5:HZ6"/>
    <mergeCell ref="IA5:IC6"/>
    <mergeCell ref="ID5:IF6"/>
    <mergeCell ref="FP5:FR6"/>
    <mergeCell ref="FS5:FU6"/>
    <mergeCell ref="FV5:FX6"/>
    <mergeCell ref="FY5:GA6"/>
    <mergeCell ref="GB5:GD6"/>
    <mergeCell ref="EO5:EQ6"/>
    <mergeCell ref="ER5:ET6"/>
    <mergeCell ref="EU5:EW6"/>
    <mergeCell ref="EX5:EZ6"/>
    <mergeCell ref="FA5:FC6"/>
    <mergeCell ref="FD5:FF6"/>
    <mergeCell ref="FG5:FI6"/>
    <mergeCell ref="FJ5:FL6"/>
    <mergeCell ref="FM5:FO6"/>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BI3:BK3"/>
    <mergeCell ref="BL3:BN3"/>
    <mergeCell ref="BO3:BQ3"/>
    <mergeCell ref="BR3:BT3"/>
    <mergeCell ref="BU3:BW3"/>
    <mergeCell ref="BX3:BZ3"/>
    <mergeCell ref="CA3:CC3"/>
    <mergeCell ref="CD3:CF3"/>
    <mergeCell ref="CG3:CI3"/>
    <mergeCell ref="CJ3:CL3"/>
    <mergeCell ref="CM3:CO3"/>
    <mergeCell ref="CP3:CR3"/>
    <mergeCell ref="CS3:CU3"/>
    <mergeCell ref="CV3:CX3"/>
    <mergeCell ref="CY3:DA3"/>
    <mergeCell ref="DB3:DD3"/>
    <mergeCell ref="DE3:DG3"/>
    <mergeCell ref="DH3:DJ3"/>
    <mergeCell ref="DK3:DM3"/>
    <mergeCell ref="DN3:DP3"/>
    <mergeCell ref="DQ3:DS3"/>
    <mergeCell ref="DT3:DV3"/>
    <mergeCell ref="DW3:DY3"/>
    <mergeCell ref="DZ3:EB3"/>
    <mergeCell ref="ER3:ET3"/>
    <mergeCell ref="EU3:EW3"/>
    <mergeCell ref="EF3:EH3"/>
    <mergeCell ref="EI3:EK3"/>
    <mergeCell ref="EL3:EN3"/>
    <mergeCell ref="EO3:EQ3"/>
    <mergeCell ref="EC3:EE3"/>
    <mergeCell ref="EX3:EZ3"/>
    <mergeCell ref="FA3:FC3"/>
    <mergeCell ref="FD3:FF3"/>
    <mergeCell ref="FG3:FI3"/>
    <mergeCell ref="FJ3:FL3"/>
    <mergeCell ref="FM3:FO3"/>
    <mergeCell ref="FP3:FR3"/>
    <mergeCell ref="FS3:FU3"/>
    <mergeCell ref="FV3:FX3"/>
    <mergeCell ref="FY3:GA3"/>
    <mergeCell ref="GB3:GD3"/>
    <mergeCell ref="GE3:GG3"/>
    <mergeCell ref="GH3:GJ3"/>
    <mergeCell ref="GN3:GP3"/>
    <mergeCell ref="GQ3:GS3"/>
    <mergeCell ref="GW3:GY3"/>
    <mergeCell ref="GZ3:HB3"/>
    <mergeCell ref="HC3:HE3"/>
    <mergeCell ref="GK3:GM3"/>
    <mergeCell ref="GT3:GV3"/>
    <mergeCell ref="IG3:IH3"/>
    <mergeCell ref="HF3:HH3"/>
    <mergeCell ref="HI3:HK3"/>
    <mergeCell ref="HL3:HN3"/>
    <mergeCell ref="HO3:HQ3"/>
    <mergeCell ref="HR3:HT3"/>
    <mergeCell ref="HU3:HW3"/>
    <mergeCell ref="HX3:HZ3"/>
    <mergeCell ref="IA3:IC3"/>
    <mergeCell ref="ID3:IF3"/>
    <mergeCell ref="JG3:JI3"/>
    <mergeCell ref="JJ3:JL3"/>
    <mergeCell ref="JM3:JO3"/>
    <mergeCell ref="JP3:JR3"/>
    <mergeCell ref="JS3:JU3"/>
    <mergeCell ref="JV3:JX3"/>
    <mergeCell ref="II3:IK3"/>
    <mergeCell ref="IL3:IN3"/>
    <mergeCell ref="IO3:IQ3"/>
    <mergeCell ref="IR3:IT3"/>
    <mergeCell ref="IU3:IW3"/>
    <mergeCell ref="IX3:IZ3"/>
    <mergeCell ref="JA3:JC3"/>
    <mergeCell ref="JD3:JF3"/>
    <mergeCell ref="JY3:KA3"/>
    <mergeCell ref="KB3:KD3"/>
    <mergeCell ref="KE3:KG3"/>
    <mergeCell ref="KH3:KJ3"/>
    <mergeCell ref="KK3:KM3"/>
    <mergeCell ref="KN3:KP3"/>
    <mergeCell ref="KQ3:KS3"/>
    <mergeCell ref="KT3:KV3"/>
    <mergeCell ref="KW3:KY3"/>
    <mergeCell ref="KZ3:LB3"/>
    <mergeCell ref="LC3:LE3"/>
    <mergeCell ref="LF3:LH3"/>
    <mergeCell ref="LI3:LK3"/>
    <mergeCell ref="LL3:LN3"/>
    <mergeCell ref="LO3:LQ3"/>
    <mergeCell ref="LR3:LT3"/>
    <mergeCell ref="LU3:LW3"/>
    <mergeCell ref="LX3:LZ3"/>
    <mergeCell ref="MA3:MC3"/>
    <mergeCell ref="MD3:MF3"/>
    <mergeCell ref="MG3:MI3"/>
    <mergeCell ref="MJ3:ML3"/>
    <mergeCell ref="MM3:MO3"/>
    <mergeCell ref="MP3:MR3"/>
    <mergeCell ref="MS3:MU3"/>
    <mergeCell ref="MV3:MX3"/>
    <mergeCell ref="MM4:MO4"/>
    <mergeCell ref="MP4:MR4"/>
    <mergeCell ref="MS4:MU4"/>
    <mergeCell ref="MV4:MX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BL4:BN4"/>
    <mergeCell ref="BO4:BQ4"/>
    <mergeCell ref="BR4:BT4"/>
    <mergeCell ref="BU4:BW4"/>
    <mergeCell ref="BX4:BZ4"/>
    <mergeCell ref="CA4:CC4"/>
    <mergeCell ref="CD4:CF4"/>
    <mergeCell ref="CG4:CI4"/>
    <mergeCell ref="CJ4:CL4"/>
    <mergeCell ref="CM4:CO4"/>
    <mergeCell ref="CP4:CR4"/>
    <mergeCell ref="CS4:CU4"/>
    <mergeCell ref="CV4:CX4"/>
    <mergeCell ref="CY4:DA4"/>
    <mergeCell ref="DB4:DD4"/>
    <mergeCell ref="DE4:DG4"/>
    <mergeCell ref="DH4:DJ4"/>
    <mergeCell ref="DK4:DM4"/>
    <mergeCell ref="DN4:DP4"/>
    <mergeCell ref="DQ4:DS4"/>
    <mergeCell ref="DT4:DV4"/>
    <mergeCell ref="DW4:DY4"/>
    <mergeCell ref="DZ4:EB4"/>
    <mergeCell ref="EC4:EE4"/>
    <mergeCell ref="EF4:EH4"/>
    <mergeCell ref="FG4:FI4"/>
    <mergeCell ref="FJ4:FL4"/>
    <mergeCell ref="FM4:FO4"/>
    <mergeCell ref="FP4:FR4"/>
    <mergeCell ref="FS4:FU4"/>
    <mergeCell ref="FV4:FX4"/>
    <mergeCell ref="FY4:GA4"/>
    <mergeCell ref="EI4:EK4"/>
    <mergeCell ref="EL4:EN4"/>
    <mergeCell ref="EO4:EQ4"/>
    <mergeCell ref="ER4:ET4"/>
    <mergeCell ref="EU4:EW4"/>
    <mergeCell ref="EX4:EZ4"/>
    <mergeCell ref="FA4:FC4"/>
    <mergeCell ref="FD4:FF4"/>
    <mergeCell ref="GB4:GD4"/>
    <mergeCell ref="GE4:GG4"/>
    <mergeCell ref="GH4:GJ4"/>
    <mergeCell ref="GN4:GP4"/>
    <mergeCell ref="GQ4:GS4"/>
    <mergeCell ref="GW4:GY4"/>
    <mergeCell ref="GZ4:HB4"/>
    <mergeCell ref="HC4:HE4"/>
    <mergeCell ref="HF4:HH4"/>
    <mergeCell ref="GK4:GM4"/>
    <mergeCell ref="GT4:GV4"/>
    <mergeCell ref="JG4:JI4"/>
    <mergeCell ref="HI4:HK4"/>
    <mergeCell ref="HL4:HN4"/>
    <mergeCell ref="HO4:HQ4"/>
    <mergeCell ref="HR4:HT4"/>
    <mergeCell ref="HU4:HW4"/>
    <mergeCell ref="HX4:HZ4"/>
    <mergeCell ref="IA4:IC4"/>
    <mergeCell ref="ID4:IF4"/>
    <mergeCell ref="II4:IK4"/>
    <mergeCell ref="IL4:IN4"/>
    <mergeCell ref="IO4:IQ4"/>
    <mergeCell ref="IR4:IT4"/>
    <mergeCell ref="IU4:IW4"/>
    <mergeCell ref="IX4:IZ4"/>
    <mergeCell ref="JA4:JC4"/>
    <mergeCell ref="JD4:JF4"/>
    <mergeCell ref="JJ4:JL4"/>
    <mergeCell ref="JM4:JO4"/>
    <mergeCell ref="JP4:JR4"/>
    <mergeCell ref="JS4:JU4"/>
    <mergeCell ref="JV4:JX4"/>
    <mergeCell ref="JY4:KA4"/>
    <mergeCell ref="KB4:KD4"/>
    <mergeCell ref="KE4:KG4"/>
    <mergeCell ref="KH4:KJ4"/>
    <mergeCell ref="KK4:KM4"/>
    <mergeCell ref="KN4:KP4"/>
    <mergeCell ref="KQ4:KS4"/>
    <mergeCell ref="KT4:KV4"/>
    <mergeCell ref="KW4:KY4"/>
    <mergeCell ref="KZ4:LB4"/>
    <mergeCell ref="LC4:LE4"/>
    <mergeCell ref="LF4:LH4"/>
    <mergeCell ref="LI4:LK4"/>
    <mergeCell ref="LL4:LN4"/>
    <mergeCell ref="LO4:LQ4"/>
    <mergeCell ref="LR4:LT4"/>
    <mergeCell ref="LU4:LW4"/>
    <mergeCell ref="LX4:LZ4"/>
    <mergeCell ref="MA4:MC4"/>
    <mergeCell ref="MD4:MF4"/>
    <mergeCell ref="MG4:MI4"/>
    <mergeCell ref="MJ4:ML4"/>
    <mergeCell ref="D5:F6"/>
    <mergeCell ref="G5:I6"/>
    <mergeCell ref="J5:L6"/>
    <mergeCell ref="M5:O6"/>
    <mergeCell ref="P5:R6"/>
    <mergeCell ref="S5:U6"/>
    <mergeCell ref="V5:X6"/>
    <mergeCell ref="Y5:AA6"/>
    <mergeCell ref="AB5:AD6"/>
    <mergeCell ref="AE5:AG6"/>
    <mergeCell ref="AH5:AJ6"/>
    <mergeCell ref="AK5:AM6"/>
    <mergeCell ref="AN5:AP6"/>
    <mergeCell ref="AQ5:AS6"/>
    <mergeCell ref="AT5:AV6"/>
    <mergeCell ref="AW5:AY6"/>
    <mergeCell ref="AZ5:BB6"/>
    <mergeCell ref="BC5:BE6"/>
    <mergeCell ref="CJ5:CL6"/>
    <mergeCell ref="CM5:CO6"/>
    <mergeCell ref="CP5:CR6"/>
    <mergeCell ref="CS5:CU6"/>
    <mergeCell ref="CV5:CX6"/>
    <mergeCell ref="CY5:DA6"/>
    <mergeCell ref="DB5:DD6"/>
    <mergeCell ref="DE5:DG6"/>
    <mergeCell ref="BI5:BK6"/>
    <mergeCell ref="BL5:BN6"/>
    <mergeCell ref="BO5:BQ6"/>
    <mergeCell ref="BR5:BT6"/>
    <mergeCell ref="BU5:BW6"/>
    <mergeCell ref="BX5:BZ6"/>
    <mergeCell ref="CA5:CC6"/>
    <mergeCell ref="CD5:CF6"/>
    <mergeCell ref="CG5:CI6"/>
  </mergeCells>
  <phoneticPr fontId="44" type="noConversion"/>
  <printOptions horizontalCentered="1" verticalCentered="1"/>
  <pageMargins left="0.19685039370078741" right="0.19685039370078741" top="0" bottom="0" header="0.51181102362204722" footer="0.51181102362204722"/>
  <pageSetup paperSize="9" scale="50" fitToHeight="0" orientation="portrait" r:id="rId1"/>
  <headerFooter alignWithMargins="0">
    <oddHeader>&amp;C2022. évi  zárszámadás&amp;R&amp;A</oddHeader>
    <oddFooter>&amp;C&amp;P/&amp;N</oddFooter>
  </headerFooter>
  <colBreaks count="59" manualBreakCount="59">
    <brk id="9" max="49" man="1"/>
    <brk id="15" max="49" man="1"/>
    <brk id="21" max="49" man="1"/>
    <brk id="27" max="49" man="1"/>
    <brk id="33" max="49" man="1"/>
    <brk id="39" max="49" man="1"/>
    <brk id="45" max="49" man="1"/>
    <brk id="51" max="49" man="1"/>
    <brk id="57" max="49" man="1"/>
    <brk id="63" max="49" man="1"/>
    <brk id="69" max="49" man="1"/>
    <brk id="75" max="49" man="1"/>
    <brk id="81" max="49" man="1"/>
    <brk id="87" max="49" man="1"/>
    <brk id="93" max="49" man="1"/>
    <brk id="99" max="49" man="1"/>
    <brk id="105" max="49" man="1"/>
    <brk id="111" max="49" man="1"/>
    <brk id="117" max="49" man="1"/>
    <brk id="123" max="49" man="1"/>
    <brk id="129" max="49" man="1"/>
    <brk id="135" max="49" man="1"/>
    <brk id="141" max="49" man="1"/>
    <brk id="147" max="49" man="1"/>
    <brk id="153" max="49" man="1"/>
    <brk id="159" max="49" man="1"/>
    <brk id="165" max="49" man="1"/>
    <brk id="171" max="49" man="1"/>
    <brk id="177" max="49" man="1"/>
    <brk id="183" max="49" man="1"/>
    <brk id="189" max="49" man="1"/>
    <brk id="195" max="49" man="1"/>
    <brk id="201" max="49" man="1"/>
    <brk id="207" max="49" man="1"/>
    <brk id="213" max="49" man="1"/>
    <brk id="219" max="49" man="1"/>
    <brk id="225" max="49" man="1"/>
    <brk id="231" max="49" man="1"/>
    <brk id="237" max="49" man="1"/>
    <brk id="242" max="49" man="1"/>
    <brk id="248" max="49" man="1"/>
    <brk id="254" max="49" man="1"/>
    <brk id="260" max="49" man="1"/>
    <brk id="266" max="49" man="1"/>
    <brk id="272" max="49" man="1"/>
    <brk id="278" max="49" man="1"/>
    <brk id="284" max="49" man="1"/>
    <brk id="290" max="49" man="1"/>
    <brk id="296" max="49" man="1"/>
    <brk id="302" max="49" man="1"/>
    <brk id="308" max="49" man="1"/>
    <brk id="314" max="49" man="1"/>
    <brk id="320" max="49" man="1"/>
    <brk id="326" max="49" man="1"/>
    <brk id="332" max="49" man="1"/>
    <brk id="338" max="49" man="1"/>
    <brk id="344" max="49" man="1"/>
    <brk id="350" max="49" man="1"/>
    <brk id="356" max="4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sheetPr>
  <dimension ref="A1:AG52"/>
  <sheetViews>
    <sheetView view="pageBreakPreview" zoomScale="80" zoomScaleNormal="73" zoomScaleSheetLayoutView="80" workbookViewId="0">
      <pane xSplit="3" ySplit="8" topLeftCell="R39" activePane="bottomRight" state="frozen"/>
      <selection activeCell="Y17" sqref="Y17"/>
      <selection pane="topRight" activeCell="Y17" sqref="Y17"/>
      <selection pane="bottomLeft" activeCell="Y17" sqref="Y17"/>
      <selection pane="bottomRight" activeCell="AE50" sqref="AE50"/>
    </sheetView>
  </sheetViews>
  <sheetFormatPr defaultRowHeight="12.75" x14ac:dyDescent="0.2"/>
  <cols>
    <col min="1" max="1" width="6" customWidth="1"/>
    <col min="2" max="2" width="65.42578125" customWidth="1"/>
    <col min="4" max="6" width="17.7109375" customWidth="1"/>
    <col min="7" max="9" width="18" customWidth="1"/>
    <col min="10" max="12" width="16.140625" customWidth="1"/>
    <col min="13" max="15" width="17.42578125" customWidth="1"/>
    <col min="16" max="17" width="16.7109375" customWidth="1"/>
    <col min="18" max="18" width="16.85546875" customWidth="1"/>
    <col min="19" max="19" width="17.42578125" customWidth="1"/>
    <col min="20" max="20" width="16.5703125" customWidth="1"/>
    <col min="21" max="24" width="16.140625" customWidth="1"/>
    <col min="25" max="25" width="17.5703125" customWidth="1"/>
    <col min="26" max="26" width="15.7109375" customWidth="1"/>
    <col min="27" max="27" width="16.28515625" customWidth="1"/>
    <col min="28" max="28" width="17" customWidth="1"/>
    <col min="29" max="29" width="17.85546875" customWidth="1"/>
    <col min="30" max="30" width="17.28515625" customWidth="1"/>
    <col min="31" max="31" width="16.28515625" bestFit="1" customWidth="1"/>
    <col min="32" max="32" width="10.7109375" bestFit="1" customWidth="1"/>
    <col min="33" max="33" width="14.28515625" bestFit="1" customWidth="1"/>
  </cols>
  <sheetData>
    <row r="1" spans="1:33" ht="15.75" x14ac:dyDescent="0.25">
      <c r="I1" s="166" t="s">
        <v>415</v>
      </c>
      <c r="O1" s="166" t="s">
        <v>415</v>
      </c>
      <c r="U1" s="166" t="s">
        <v>415</v>
      </c>
      <c r="V1" s="166"/>
      <c r="W1" s="166"/>
      <c r="X1" s="166"/>
      <c r="AA1" s="166" t="s">
        <v>415</v>
      </c>
      <c r="AD1" s="166" t="s">
        <v>415</v>
      </c>
    </row>
    <row r="2" spans="1:33" s="650" customFormat="1" ht="33.75" customHeight="1" x14ac:dyDescent="0.25">
      <c r="A2" s="647"/>
      <c r="B2" s="648"/>
      <c r="C2" s="649"/>
      <c r="D2" s="1081" t="s">
        <v>2072</v>
      </c>
      <c r="E2" s="1082"/>
      <c r="F2" s="1082"/>
      <c r="G2" s="1082"/>
      <c r="H2" s="1082"/>
      <c r="I2" s="1089"/>
      <c r="J2" s="1081" t="s">
        <v>2072</v>
      </c>
      <c r="K2" s="1082"/>
      <c r="L2" s="1082"/>
      <c r="M2" s="1082"/>
      <c r="N2" s="1082"/>
      <c r="O2" s="1089"/>
      <c r="P2" s="1081" t="s">
        <v>2072</v>
      </c>
      <c r="Q2" s="1082"/>
      <c r="R2" s="1082"/>
      <c r="S2" s="1082"/>
      <c r="T2" s="1082"/>
      <c r="U2" s="1082"/>
      <c r="V2" s="1080" t="s">
        <v>2072</v>
      </c>
      <c r="W2" s="1080"/>
      <c r="X2" s="1080"/>
      <c r="Y2" s="1080"/>
      <c r="Z2" s="1080"/>
      <c r="AA2" s="1080"/>
      <c r="AB2" s="1080" t="s">
        <v>2072</v>
      </c>
      <c r="AC2" s="1080"/>
      <c r="AD2" s="1080"/>
      <c r="AE2" s="828"/>
      <c r="AF2" s="828"/>
      <c r="AG2" s="828"/>
    </row>
    <row r="3" spans="1:33" ht="39.75" customHeight="1" x14ac:dyDescent="0.2">
      <c r="A3" s="1075" t="s">
        <v>133</v>
      </c>
      <c r="B3" s="1076"/>
      <c r="C3" s="1077"/>
      <c r="D3" s="644" t="s">
        <v>274</v>
      </c>
      <c r="E3" s="644" t="s">
        <v>1074</v>
      </c>
      <c r="F3" s="644" t="s">
        <v>1546</v>
      </c>
      <c r="G3" s="644" t="s">
        <v>274</v>
      </c>
      <c r="H3" s="644" t="s">
        <v>1074</v>
      </c>
      <c r="I3" s="644" t="s">
        <v>1546</v>
      </c>
      <c r="J3" s="644" t="s">
        <v>274</v>
      </c>
      <c r="K3" s="644" t="s">
        <v>1074</v>
      </c>
      <c r="L3" s="644" t="s">
        <v>1546</v>
      </c>
      <c r="M3" s="644" t="s">
        <v>274</v>
      </c>
      <c r="N3" s="644" t="s">
        <v>1074</v>
      </c>
      <c r="O3" s="644" t="s">
        <v>1546</v>
      </c>
      <c r="P3" s="644" t="s">
        <v>274</v>
      </c>
      <c r="Q3" s="644" t="s">
        <v>1074</v>
      </c>
      <c r="R3" s="644" t="s">
        <v>1546</v>
      </c>
      <c r="S3" s="644" t="s">
        <v>274</v>
      </c>
      <c r="T3" s="644" t="s">
        <v>1074</v>
      </c>
      <c r="U3" s="644" t="s">
        <v>1546</v>
      </c>
      <c r="V3" s="644" t="s">
        <v>274</v>
      </c>
      <c r="W3" s="644" t="s">
        <v>1074</v>
      </c>
      <c r="X3" s="644" t="s">
        <v>1546</v>
      </c>
      <c r="Y3" s="644" t="s">
        <v>274</v>
      </c>
      <c r="Z3" s="644" t="s">
        <v>1074</v>
      </c>
      <c r="AA3" s="644" t="s">
        <v>1546</v>
      </c>
      <c r="AB3" s="644" t="s">
        <v>274</v>
      </c>
      <c r="AC3" s="644" t="s">
        <v>1074</v>
      </c>
      <c r="AD3" s="827" t="s">
        <v>1546</v>
      </c>
    </row>
    <row r="4" spans="1:33" ht="118.5" customHeight="1" x14ac:dyDescent="0.2">
      <c r="A4" s="1079" t="s">
        <v>189</v>
      </c>
      <c r="B4" s="1078" t="s">
        <v>247</v>
      </c>
      <c r="C4" s="1078"/>
      <c r="D4" s="1063" t="s">
        <v>1744</v>
      </c>
      <c r="E4" s="1064"/>
      <c r="F4" s="1065"/>
      <c r="G4" s="1090" t="s">
        <v>2037</v>
      </c>
      <c r="H4" s="1091"/>
      <c r="I4" s="1092"/>
      <c r="J4" s="1063" t="s">
        <v>2037</v>
      </c>
      <c r="K4" s="1064" t="s">
        <v>545</v>
      </c>
      <c r="L4" s="1065"/>
      <c r="M4" s="1063" t="s">
        <v>2038</v>
      </c>
      <c r="N4" s="1064" t="s">
        <v>546</v>
      </c>
      <c r="O4" s="1065"/>
      <c r="P4" s="1063" t="s">
        <v>181</v>
      </c>
      <c r="Q4" s="1064" t="s">
        <v>181</v>
      </c>
      <c r="R4" s="1065"/>
      <c r="S4" s="1063" t="s">
        <v>1613</v>
      </c>
      <c r="T4" s="1064"/>
      <c r="U4" s="1065"/>
      <c r="V4" s="1039" t="s">
        <v>2148</v>
      </c>
      <c r="W4" s="1040" t="s">
        <v>348</v>
      </c>
      <c r="X4" s="1041"/>
      <c r="Y4" s="1063" t="s">
        <v>2039</v>
      </c>
      <c r="Z4" s="1064" t="s">
        <v>545</v>
      </c>
      <c r="AA4" s="1065"/>
      <c r="AB4" s="1072" t="s">
        <v>135</v>
      </c>
      <c r="AC4" s="1073"/>
      <c r="AD4" s="1074"/>
    </row>
    <row r="5" spans="1:33" ht="26.25" customHeight="1" x14ac:dyDescent="0.2">
      <c r="A5" s="1079"/>
      <c r="B5" s="1078" t="s">
        <v>11</v>
      </c>
      <c r="C5" s="1078"/>
      <c r="D5" s="1063" t="s">
        <v>225</v>
      </c>
      <c r="E5" s="1064"/>
      <c r="F5" s="1065"/>
      <c r="G5" s="1063" t="s">
        <v>225</v>
      </c>
      <c r="H5" s="1064" t="s">
        <v>225</v>
      </c>
      <c r="I5" s="1065"/>
      <c r="J5" s="1063" t="s">
        <v>225</v>
      </c>
      <c r="K5" s="1064" t="s">
        <v>225</v>
      </c>
      <c r="L5" s="1065"/>
      <c r="M5" s="1063" t="s">
        <v>226</v>
      </c>
      <c r="N5" s="1064" t="s">
        <v>226</v>
      </c>
      <c r="O5" s="1065"/>
      <c r="P5" s="1063" t="s">
        <v>225</v>
      </c>
      <c r="Q5" s="1064" t="s">
        <v>225</v>
      </c>
      <c r="R5" s="1065"/>
      <c r="S5" s="1063" t="s">
        <v>225</v>
      </c>
      <c r="T5" s="1064"/>
      <c r="U5" s="1065"/>
      <c r="V5" s="1063" t="s">
        <v>225</v>
      </c>
      <c r="W5" s="1064"/>
      <c r="X5" s="1065"/>
      <c r="Y5" s="1072" t="s">
        <v>225</v>
      </c>
      <c r="Z5" s="1073"/>
      <c r="AA5" s="1074"/>
      <c r="AB5" s="1083"/>
      <c r="AC5" s="1084"/>
      <c r="AD5" s="1085"/>
    </row>
    <row r="6" spans="1:33" ht="20.25" customHeight="1" x14ac:dyDescent="0.2">
      <c r="A6" s="1079"/>
      <c r="B6" s="992" t="s">
        <v>646</v>
      </c>
      <c r="C6" s="992"/>
      <c r="D6" s="1066" t="s">
        <v>1991</v>
      </c>
      <c r="E6" s="1067"/>
      <c r="F6" s="1068"/>
      <c r="G6" s="1066" t="s">
        <v>2033</v>
      </c>
      <c r="H6" s="1067" t="s">
        <v>1171</v>
      </c>
      <c r="I6" s="1068"/>
      <c r="J6" s="1066" t="s">
        <v>2034</v>
      </c>
      <c r="K6" s="1067" t="s">
        <v>544</v>
      </c>
      <c r="L6" s="1068"/>
      <c r="M6" s="1066" t="s">
        <v>2035</v>
      </c>
      <c r="N6" s="1067" t="s">
        <v>1172</v>
      </c>
      <c r="O6" s="1068"/>
      <c r="P6" s="1066" t="s">
        <v>2036</v>
      </c>
      <c r="Q6" s="1067" t="s">
        <v>561</v>
      </c>
      <c r="R6" s="1068"/>
      <c r="S6" s="1066" t="s">
        <v>2076</v>
      </c>
      <c r="T6" s="1067"/>
      <c r="U6" s="1068"/>
      <c r="V6" s="1051" t="s">
        <v>2150</v>
      </c>
      <c r="W6" s="1052"/>
      <c r="X6" s="1053"/>
      <c r="Y6" s="1066" t="s">
        <v>173</v>
      </c>
      <c r="Z6" s="1067"/>
      <c r="AA6" s="1068"/>
      <c r="AB6" s="1083"/>
      <c r="AC6" s="1084"/>
      <c r="AD6" s="1085"/>
    </row>
    <row r="7" spans="1:33" ht="57" customHeight="1" x14ac:dyDescent="0.2">
      <c r="A7" s="1079"/>
      <c r="B7" s="685" t="s">
        <v>190</v>
      </c>
      <c r="C7" s="188" t="s">
        <v>248</v>
      </c>
      <c r="D7" s="1069"/>
      <c r="E7" s="1070"/>
      <c r="F7" s="1071"/>
      <c r="G7" s="1069"/>
      <c r="H7" s="1070"/>
      <c r="I7" s="1071"/>
      <c r="J7" s="1069"/>
      <c r="K7" s="1070"/>
      <c r="L7" s="1071"/>
      <c r="M7" s="1069"/>
      <c r="N7" s="1070"/>
      <c r="O7" s="1071"/>
      <c r="P7" s="1069"/>
      <c r="Q7" s="1070"/>
      <c r="R7" s="1071"/>
      <c r="S7" s="1069"/>
      <c r="T7" s="1070"/>
      <c r="U7" s="1071"/>
      <c r="V7" s="1060"/>
      <c r="W7" s="1061"/>
      <c r="X7" s="1062"/>
      <c r="Y7" s="1069"/>
      <c r="Z7" s="1070"/>
      <c r="AA7" s="1071"/>
      <c r="AB7" s="1086"/>
      <c r="AC7" s="1087"/>
      <c r="AD7" s="1088"/>
    </row>
    <row r="8" spans="1:33" ht="15.75" x14ac:dyDescent="0.2">
      <c r="A8" s="187" t="s">
        <v>191</v>
      </c>
      <c r="B8" s="186" t="s">
        <v>192</v>
      </c>
      <c r="C8" s="186" t="s">
        <v>193</v>
      </c>
      <c r="D8" s="518" t="s">
        <v>194</v>
      </c>
      <c r="E8" s="186" t="s">
        <v>195</v>
      </c>
      <c r="F8" s="518" t="s">
        <v>196</v>
      </c>
      <c r="G8" s="518" t="s">
        <v>197</v>
      </c>
      <c r="H8" s="186" t="s">
        <v>198</v>
      </c>
      <c r="I8" s="518" t="s">
        <v>199</v>
      </c>
      <c r="J8" s="518" t="s">
        <v>200</v>
      </c>
      <c r="K8" s="186" t="s">
        <v>201</v>
      </c>
      <c r="L8" s="518" t="s">
        <v>228</v>
      </c>
      <c r="M8" s="518" t="s">
        <v>229</v>
      </c>
      <c r="N8" s="186" t="s">
        <v>230</v>
      </c>
      <c r="O8" s="518" t="s">
        <v>231</v>
      </c>
      <c r="P8" s="518" t="s">
        <v>232</v>
      </c>
      <c r="Q8" s="186" t="s">
        <v>233</v>
      </c>
      <c r="R8" s="518" t="s">
        <v>234</v>
      </c>
      <c r="S8" s="518" t="s">
        <v>235</v>
      </c>
      <c r="T8" s="186" t="s">
        <v>236</v>
      </c>
      <c r="U8" s="518" t="s">
        <v>261</v>
      </c>
      <c r="V8" s="518" t="s">
        <v>262</v>
      </c>
      <c r="W8" s="186" t="s">
        <v>263</v>
      </c>
      <c r="X8" s="518" t="s">
        <v>264</v>
      </c>
      <c r="Y8" s="518" t="s">
        <v>265</v>
      </c>
      <c r="Z8" s="186" t="s">
        <v>266</v>
      </c>
      <c r="AA8" s="518" t="s">
        <v>267</v>
      </c>
      <c r="AB8" s="518" t="s">
        <v>268</v>
      </c>
      <c r="AC8" s="186" t="s">
        <v>269</v>
      </c>
      <c r="AD8" s="518" t="s">
        <v>270</v>
      </c>
    </row>
    <row r="9" spans="1:33" ht="21" customHeight="1" x14ac:dyDescent="0.2">
      <c r="A9" s="250" t="s">
        <v>191</v>
      </c>
      <c r="B9" s="251" t="s">
        <v>330</v>
      </c>
      <c r="C9" s="252" t="s">
        <v>202</v>
      </c>
      <c r="D9" s="253"/>
      <c r="E9" s="253"/>
      <c r="F9" s="253"/>
      <c r="G9" s="253">
        <v>11148000</v>
      </c>
      <c r="H9" s="253">
        <v>28429739</v>
      </c>
      <c r="I9" s="253">
        <v>27751963</v>
      </c>
      <c r="J9" s="253">
        <v>53608768</v>
      </c>
      <c r="K9" s="253">
        <v>37751630</v>
      </c>
      <c r="L9" s="253">
        <v>26590536</v>
      </c>
      <c r="M9" s="253"/>
      <c r="N9" s="253"/>
      <c r="O9" s="253"/>
      <c r="P9" s="253"/>
      <c r="Q9" s="253"/>
      <c r="R9" s="253"/>
      <c r="S9" s="253"/>
      <c r="T9" s="253"/>
      <c r="U9" s="253"/>
      <c r="V9" s="253"/>
      <c r="W9" s="253">
        <v>7824000</v>
      </c>
      <c r="X9" s="253">
        <v>7824000</v>
      </c>
      <c r="Y9" s="253"/>
      <c r="Z9" s="253"/>
      <c r="AA9" s="253"/>
      <c r="AB9" s="253">
        <f t="shared" ref="AB9:AB50" si="0">D9+G9+J9+M9+P9+Y9</f>
        <v>64756768</v>
      </c>
      <c r="AC9" s="253">
        <f>E9+H9+K9+N9+Q9+Z9+W9</f>
        <v>74005369</v>
      </c>
      <c r="AD9" s="253">
        <f>F9+I9+L9+O9+R9+AA9+U9+X9</f>
        <v>62166499</v>
      </c>
      <c r="AE9" s="196">
        <f>+F9+I9+L9+R9+AA9+U9+X9</f>
        <v>62166499</v>
      </c>
      <c r="AF9" s="196">
        <f>+O9</f>
        <v>0</v>
      </c>
      <c r="AG9" s="196">
        <f>+AD9-AE9-AF9</f>
        <v>0</v>
      </c>
    </row>
    <row r="10" spans="1:33" ht="21" customHeight="1" x14ac:dyDescent="0.2">
      <c r="A10" s="250" t="s">
        <v>192</v>
      </c>
      <c r="B10" s="254" t="s">
        <v>203</v>
      </c>
      <c r="C10" s="252" t="s">
        <v>204</v>
      </c>
      <c r="D10" s="253"/>
      <c r="E10" s="253"/>
      <c r="F10" s="253"/>
      <c r="G10" s="253">
        <v>1589520</v>
      </c>
      <c r="H10" s="253">
        <v>3143245</v>
      </c>
      <c r="I10" s="253">
        <v>3143245</v>
      </c>
      <c r="J10" s="253">
        <f>7370840+220000</f>
        <v>7590840</v>
      </c>
      <c r="K10" s="253">
        <v>6228865</v>
      </c>
      <c r="L10" s="253">
        <v>3786558</v>
      </c>
      <c r="M10" s="253"/>
      <c r="N10" s="253"/>
      <c r="O10" s="253"/>
      <c r="P10" s="253"/>
      <c r="Q10" s="253"/>
      <c r="R10" s="253"/>
      <c r="S10" s="253"/>
      <c r="T10" s="253"/>
      <c r="U10" s="253"/>
      <c r="V10" s="253"/>
      <c r="W10" s="253">
        <v>1017120</v>
      </c>
      <c r="X10" s="253">
        <v>1017120</v>
      </c>
      <c r="Y10" s="253"/>
      <c r="Z10" s="253"/>
      <c r="AA10" s="253"/>
      <c r="AB10" s="253">
        <f t="shared" si="0"/>
        <v>9180360</v>
      </c>
      <c r="AC10" s="253">
        <f t="shared" ref="AC10:AC50" si="1">E10+H10+K10+N10+Q10+Z10+W10</f>
        <v>10389230</v>
      </c>
      <c r="AD10" s="253">
        <f t="shared" ref="AD10:AD50" si="2">F10+I10+L10+O10+R10+AA10+U10+X10</f>
        <v>7946923</v>
      </c>
      <c r="AE10" s="196">
        <f t="shared" ref="AE10:AE50" si="3">+F10+I10+L10+R10+AA10+U10+X10</f>
        <v>7946923</v>
      </c>
      <c r="AF10" s="196">
        <f t="shared" ref="AF10:AF52" si="4">+O10</f>
        <v>0</v>
      </c>
      <c r="AG10" s="196">
        <f t="shared" ref="AG10:AG52" si="5">+AD10-AE10-AF10</f>
        <v>0</v>
      </c>
    </row>
    <row r="11" spans="1:33" ht="21" customHeight="1" x14ac:dyDescent="0.2">
      <c r="A11" s="250" t="s">
        <v>193</v>
      </c>
      <c r="B11" s="254" t="s">
        <v>331</v>
      </c>
      <c r="C11" s="252" t="s">
        <v>205</v>
      </c>
      <c r="D11" s="253">
        <v>144500</v>
      </c>
      <c r="E11" s="253">
        <f>144500-144500</f>
        <v>0</v>
      </c>
      <c r="F11" s="253"/>
      <c r="G11" s="253">
        <f>+(44297710+2190750)+291430+122674</f>
        <v>46902564</v>
      </c>
      <c r="H11" s="253">
        <v>46600157</v>
      </c>
      <c r="I11" s="253">
        <v>34762222</v>
      </c>
      <c r="J11" s="253">
        <f>+(18908950)+11430+221190</f>
        <v>19141570</v>
      </c>
      <c r="K11" s="253">
        <v>24001565</v>
      </c>
      <c r="L11" s="253">
        <v>12789498</v>
      </c>
      <c r="M11" s="253">
        <v>469900</v>
      </c>
      <c r="N11" s="253">
        <v>469900</v>
      </c>
      <c r="O11" s="253">
        <v>119765</v>
      </c>
      <c r="P11" s="253"/>
      <c r="Q11" s="253"/>
      <c r="R11" s="253"/>
      <c r="S11" s="253"/>
      <c r="T11" s="253">
        <v>350000</v>
      </c>
      <c r="U11" s="253">
        <v>350000</v>
      </c>
      <c r="V11" s="253"/>
      <c r="W11" s="253"/>
      <c r="X11" s="253"/>
      <c r="Y11" s="253">
        <v>635000</v>
      </c>
      <c r="Z11" s="253">
        <v>22755</v>
      </c>
      <c r="AA11" s="253">
        <v>22355</v>
      </c>
      <c r="AB11" s="253">
        <f t="shared" si="0"/>
        <v>67293534</v>
      </c>
      <c r="AC11" s="253">
        <f>E11+H11+K11+N11+Q11+Z11+W11+T11</f>
        <v>71444377</v>
      </c>
      <c r="AD11" s="253">
        <f>F11+I11+L11+O11+R11+AA11+U11+X11</f>
        <v>48043840</v>
      </c>
      <c r="AE11" s="196">
        <f t="shared" si="3"/>
        <v>47924075</v>
      </c>
      <c r="AF11" s="196">
        <f t="shared" si="4"/>
        <v>119765</v>
      </c>
      <c r="AG11" s="196">
        <f t="shared" si="5"/>
        <v>0</v>
      </c>
    </row>
    <row r="12" spans="1:33" ht="21" customHeight="1" x14ac:dyDescent="0.2">
      <c r="A12" s="175" t="s">
        <v>194</v>
      </c>
      <c r="B12" s="182" t="s">
        <v>332</v>
      </c>
      <c r="C12" s="177" t="s">
        <v>206</v>
      </c>
      <c r="D12" s="173"/>
      <c r="E12" s="173"/>
      <c r="F12" s="173"/>
      <c r="G12" s="173"/>
      <c r="H12" s="173"/>
      <c r="I12" s="173"/>
      <c r="J12" s="173"/>
      <c r="K12" s="173"/>
      <c r="L12" s="173"/>
      <c r="M12" s="173"/>
      <c r="N12" s="173"/>
      <c r="O12" s="173"/>
      <c r="P12" s="173"/>
      <c r="Q12" s="173"/>
      <c r="R12" s="173"/>
      <c r="S12" s="173"/>
      <c r="T12" s="173"/>
      <c r="U12" s="253"/>
      <c r="V12" s="253"/>
      <c r="W12" s="253"/>
      <c r="X12" s="253"/>
      <c r="Y12" s="173"/>
      <c r="Z12" s="173"/>
      <c r="AA12" s="173"/>
      <c r="AB12" s="253">
        <f t="shared" si="0"/>
        <v>0</v>
      </c>
      <c r="AC12" s="253">
        <f t="shared" si="1"/>
        <v>0</v>
      </c>
      <c r="AD12" s="253">
        <f t="shared" si="2"/>
        <v>0</v>
      </c>
      <c r="AE12" s="196">
        <f t="shared" si="3"/>
        <v>0</v>
      </c>
      <c r="AF12" s="196">
        <f t="shared" si="4"/>
        <v>0</v>
      </c>
      <c r="AG12" s="196">
        <f t="shared" si="5"/>
        <v>0</v>
      </c>
    </row>
    <row r="13" spans="1:33" ht="21" customHeight="1" x14ac:dyDescent="0.2">
      <c r="A13" s="175" t="s">
        <v>195</v>
      </c>
      <c r="B13" s="182" t="s">
        <v>237</v>
      </c>
      <c r="C13" s="177" t="s">
        <v>207</v>
      </c>
      <c r="D13" s="173">
        <f t="shared" ref="D13:AB13" si="6">SUM(D14:D16)</f>
        <v>0</v>
      </c>
      <c r="E13" s="173">
        <f t="shared" si="6"/>
        <v>11154291</v>
      </c>
      <c r="F13" s="173">
        <f t="shared" si="6"/>
        <v>11154291</v>
      </c>
      <c r="G13" s="173">
        <f t="shared" si="6"/>
        <v>0</v>
      </c>
      <c r="H13" s="173">
        <f t="shared" si="6"/>
        <v>0</v>
      </c>
      <c r="I13" s="173">
        <f t="shared" si="6"/>
        <v>0</v>
      </c>
      <c r="J13" s="173">
        <f t="shared" si="6"/>
        <v>0</v>
      </c>
      <c r="K13" s="173">
        <f t="shared" si="6"/>
        <v>0</v>
      </c>
      <c r="L13" s="173">
        <f t="shared" si="6"/>
        <v>0</v>
      </c>
      <c r="M13" s="173">
        <f t="shared" si="6"/>
        <v>0</v>
      </c>
      <c r="N13" s="173">
        <f t="shared" si="6"/>
        <v>0</v>
      </c>
      <c r="O13" s="173">
        <f t="shared" si="6"/>
        <v>0</v>
      </c>
      <c r="P13" s="173">
        <f t="shared" si="6"/>
        <v>0</v>
      </c>
      <c r="Q13" s="173">
        <f t="shared" si="6"/>
        <v>0</v>
      </c>
      <c r="R13" s="173">
        <f t="shared" si="6"/>
        <v>0</v>
      </c>
      <c r="S13" s="173">
        <f t="shared" si="6"/>
        <v>0</v>
      </c>
      <c r="T13" s="173">
        <f t="shared" si="6"/>
        <v>0</v>
      </c>
      <c r="U13" s="173">
        <f t="shared" si="6"/>
        <v>0</v>
      </c>
      <c r="V13" s="173">
        <f t="shared" si="6"/>
        <v>0</v>
      </c>
      <c r="W13" s="173">
        <f t="shared" si="6"/>
        <v>0</v>
      </c>
      <c r="X13" s="173">
        <f t="shared" si="6"/>
        <v>0</v>
      </c>
      <c r="Y13" s="173">
        <f t="shared" si="6"/>
        <v>0</v>
      </c>
      <c r="Z13" s="173">
        <f t="shared" si="6"/>
        <v>0</v>
      </c>
      <c r="AA13" s="173">
        <f t="shared" si="6"/>
        <v>0</v>
      </c>
      <c r="AB13" s="173">
        <f t="shared" si="6"/>
        <v>0</v>
      </c>
      <c r="AC13" s="253">
        <f t="shared" si="1"/>
        <v>11154291</v>
      </c>
      <c r="AD13" s="253">
        <f t="shared" si="2"/>
        <v>11154291</v>
      </c>
      <c r="AE13" s="196">
        <f t="shared" si="3"/>
        <v>11154291</v>
      </c>
      <c r="AF13" s="196">
        <f t="shared" si="4"/>
        <v>0</v>
      </c>
      <c r="AG13" s="196">
        <f t="shared" si="5"/>
        <v>0</v>
      </c>
    </row>
    <row r="14" spans="1:33" ht="21" customHeight="1" x14ac:dyDescent="0.2">
      <c r="A14" s="175" t="s">
        <v>196</v>
      </c>
      <c r="B14" s="184" t="s">
        <v>122</v>
      </c>
      <c r="C14" s="177"/>
      <c r="D14" s="173"/>
      <c r="E14" s="173"/>
      <c r="F14" s="173"/>
      <c r="G14" s="173"/>
      <c r="H14" s="173"/>
      <c r="I14" s="173"/>
      <c r="J14" s="173"/>
      <c r="K14" s="173"/>
      <c r="L14" s="173"/>
      <c r="M14" s="173"/>
      <c r="N14" s="173"/>
      <c r="O14" s="173"/>
      <c r="P14" s="173"/>
      <c r="Q14" s="173"/>
      <c r="R14" s="173"/>
      <c r="S14" s="173"/>
      <c r="T14" s="173"/>
      <c r="U14" s="253"/>
      <c r="V14" s="253"/>
      <c r="W14" s="253"/>
      <c r="X14" s="253"/>
      <c r="Y14" s="173"/>
      <c r="Z14" s="173"/>
      <c r="AA14" s="173"/>
      <c r="AB14" s="253">
        <f t="shared" si="0"/>
        <v>0</v>
      </c>
      <c r="AC14" s="253">
        <f t="shared" si="1"/>
        <v>0</v>
      </c>
      <c r="AD14" s="253">
        <f t="shared" si="2"/>
        <v>0</v>
      </c>
      <c r="AE14" s="196">
        <f t="shared" si="3"/>
        <v>0</v>
      </c>
      <c r="AF14" s="196">
        <f t="shared" si="4"/>
        <v>0</v>
      </c>
      <c r="AG14" s="196">
        <f t="shared" si="5"/>
        <v>0</v>
      </c>
    </row>
    <row r="15" spans="1:33" ht="21" customHeight="1" x14ac:dyDescent="0.2">
      <c r="A15" s="175" t="s">
        <v>197</v>
      </c>
      <c r="B15" s="184" t="s">
        <v>112</v>
      </c>
      <c r="C15" s="179"/>
      <c r="D15" s="173"/>
      <c r="E15" s="173"/>
      <c r="F15" s="173"/>
      <c r="G15" s="173"/>
      <c r="H15" s="173"/>
      <c r="I15" s="173"/>
      <c r="J15" s="173"/>
      <c r="K15" s="173"/>
      <c r="L15" s="173"/>
      <c r="M15" s="173"/>
      <c r="N15" s="173"/>
      <c r="O15" s="173"/>
      <c r="P15" s="173"/>
      <c r="Q15" s="173"/>
      <c r="R15" s="173"/>
      <c r="S15" s="173"/>
      <c r="T15" s="173"/>
      <c r="U15" s="253"/>
      <c r="V15" s="253"/>
      <c r="W15" s="253"/>
      <c r="X15" s="253"/>
      <c r="Y15" s="173"/>
      <c r="Z15" s="173"/>
      <c r="AA15" s="173"/>
      <c r="AB15" s="253">
        <f t="shared" si="0"/>
        <v>0</v>
      </c>
      <c r="AC15" s="253">
        <f t="shared" si="1"/>
        <v>0</v>
      </c>
      <c r="AD15" s="253">
        <f t="shared" si="2"/>
        <v>0</v>
      </c>
      <c r="AE15" s="196">
        <f t="shared" si="3"/>
        <v>0</v>
      </c>
      <c r="AF15" s="196">
        <f t="shared" si="4"/>
        <v>0</v>
      </c>
      <c r="AG15" s="196">
        <f t="shared" si="5"/>
        <v>0</v>
      </c>
    </row>
    <row r="16" spans="1:33" ht="21" customHeight="1" x14ac:dyDescent="0.2">
      <c r="A16" s="175" t="s">
        <v>198</v>
      </c>
      <c r="B16" s="88" t="s">
        <v>516</v>
      </c>
      <c r="C16" s="179"/>
      <c r="D16" s="173"/>
      <c r="E16" s="173">
        <v>11154291</v>
      </c>
      <c r="F16" s="173">
        <v>11154291</v>
      </c>
      <c r="G16" s="173"/>
      <c r="H16" s="173"/>
      <c r="I16" s="173"/>
      <c r="J16" s="173"/>
      <c r="K16" s="173"/>
      <c r="L16" s="173"/>
      <c r="M16" s="173"/>
      <c r="N16" s="173"/>
      <c r="O16" s="173"/>
      <c r="P16" s="173"/>
      <c r="Q16" s="173"/>
      <c r="R16" s="173"/>
      <c r="S16" s="173"/>
      <c r="T16" s="173"/>
      <c r="U16" s="253"/>
      <c r="V16" s="253"/>
      <c r="W16" s="253"/>
      <c r="X16" s="253"/>
      <c r="Y16" s="173"/>
      <c r="Z16" s="173"/>
      <c r="AA16" s="173"/>
      <c r="AB16" s="253">
        <f t="shared" si="0"/>
        <v>0</v>
      </c>
      <c r="AC16" s="253">
        <f t="shared" si="1"/>
        <v>11154291</v>
      </c>
      <c r="AD16" s="253">
        <f t="shared" si="2"/>
        <v>11154291</v>
      </c>
      <c r="AE16" s="196">
        <f t="shared" si="3"/>
        <v>11154291</v>
      </c>
      <c r="AF16" s="196">
        <f t="shared" si="4"/>
        <v>0</v>
      </c>
      <c r="AG16" s="196">
        <f t="shared" si="5"/>
        <v>0</v>
      </c>
    </row>
    <row r="17" spans="1:33" ht="21" customHeight="1" x14ac:dyDescent="0.2">
      <c r="A17" s="175" t="s">
        <v>199</v>
      </c>
      <c r="B17" s="181" t="s">
        <v>244</v>
      </c>
      <c r="C17" s="177" t="s">
        <v>208</v>
      </c>
      <c r="D17" s="173"/>
      <c r="E17" s="173"/>
      <c r="F17" s="173"/>
      <c r="G17" s="173">
        <v>1130300</v>
      </c>
      <c r="H17" s="173">
        <v>2235200</v>
      </c>
      <c r="I17" s="173">
        <v>1734750</v>
      </c>
      <c r="J17" s="253">
        <v>5148517</v>
      </c>
      <c r="K17" s="253">
        <v>5148517</v>
      </c>
      <c r="L17" s="253">
        <v>3797836</v>
      </c>
      <c r="M17" s="173">
        <v>127000</v>
      </c>
      <c r="N17" s="173">
        <v>127000</v>
      </c>
      <c r="O17" s="173">
        <v>7290</v>
      </c>
      <c r="P17" s="173"/>
      <c r="Q17" s="173"/>
      <c r="R17" s="173"/>
      <c r="S17" s="173"/>
      <c r="T17" s="173"/>
      <c r="U17" s="253"/>
      <c r="V17" s="253"/>
      <c r="W17" s="253"/>
      <c r="X17" s="253"/>
      <c r="Y17" s="173"/>
      <c r="Z17" s="173"/>
      <c r="AA17" s="173"/>
      <c r="AB17" s="253">
        <f t="shared" si="0"/>
        <v>6405817</v>
      </c>
      <c r="AC17" s="253">
        <f t="shared" si="1"/>
        <v>7510717</v>
      </c>
      <c r="AD17" s="253">
        <f t="shared" si="2"/>
        <v>5539876</v>
      </c>
      <c r="AE17" s="196">
        <f t="shared" si="3"/>
        <v>5532586</v>
      </c>
      <c r="AF17" s="196">
        <f t="shared" si="4"/>
        <v>7290</v>
      </c>
      <c r="AG17" s="196">
        <f t="shared" si="5"/>
        <v>0</v>
      </c>
    </row>
    <row r="18" spans="1:33" ht="21" customHeight="1" x14ac:dyDescent="0.2">
      <c r="A18" s="175" t="s">
        <v>200</v>
      </c>
      <c r="B18" s="182" t="s">
        <v>333</v>
      </c>
      <c r="C18" s="177" t="s">
        <v>209</v>
      </c>
      <c r="D18" s="173"/>
      <c r="E18" s="173"/>
      <c r="F18" s="173"/>
      <c r="G18" s="173"/>
      <c r="H18" s="173"/>
      <c r="I18" s="173"/>
      <c r="J18" s="173"/>
      <c r="K18" s="173"/>
      <c r="L18" s="173"/>
      <c r="M18" s="173"/>
      <c r="N18" s="173"/>
      <c r="O18" s="173"/>
      <c r="P18" s="173"/>
      <c r="Q18" s="173"/>
      <c r="R18" s="173"/>
      <c r="S18" s="173"/>
      <c r="T18" s="173"/>
      <c r="U18" s="253"/>
      <c r="V18" s="253"/>
      <c r="W18" s="253"/>
      <c r="X18" s="253"/>
      <c r="Y18" s="173"/>
      <c r="Z18" s="173"/>
      <c r="AA18" s="173"/>
      <c r="AB18" s="253">
        <f t="shared" si="0"/>
        <v>0</v>
      </c>
      <c r="AC18" s="253">
        <f t="shared" si="1"/>
        <v>0</v>
      </c>
      <c r="AD18" s="253">
        <f t="shared" si="2"/>
        <v>0</v>
      </c>
      <c r="AE18" s="196">
        <f t="shared" si="3"/>
        <v>0</v>
      </c>
      <c r="AF18" s="196">
        <f t="shared" si="4"/>
        <v>0</v>
      </c>
      <c r="AG18" s="196">
        <f t="shared" si="5"/>
        <v>0</v>
      </c>
    </row>
    <row r="19" spans="1:33" ht="21" customHeight="1" x14ac:dyDescent="0.2">
      <c r="A19" s="175" t="s">
        <v>201</v>
      </c>
      <c r="B19" s="182" t="s">
        <v>238</v>
      </c>
      <c r="C19" s="177" t="s">
        <v>210</v>
      </c>
      <c r="D19" s="173"/>
      <c r="E19" s="173"/>
      <c r="F19" s="173"/>
      <c r="G19" s="173"/>
      <c r="H19" s="173"/>
      <c r="I19" s="173"/>
      <c r="J19" s="173"/>
      <c r="K19" s="173"/>
      <c r="L19" s="173"/>
      <c r="M19" s="173"/>
      <c r="N19" s="173"/>
      <c r="O19" s="173"/>
      <c r="P19" s="173"/>
      <c r="Q19" s="173"/>
      <c r="R19" s="173"/>
      <c r="S19" s="173"/>
      <c r="T19" s="173"/>
      <c r="U19" s="253"/>
      <c r="V19" s="253"/>
      <c r="W19" s="253"/>
      <c r="X19" s="253"/>
      <c r="Y19" s="173"/>
      <c r="Z19" s="173"/>
      <c r="AA19" s="173"/>
      <c r="AB19" s="253">
        <f t="shared" si="0"/>
        <v>0</v>
      </c>
      <c r="AC19" s="253">
        <f t="shared" si="1"/>
        <v>0</v>
      </c>
      <c r="AD19" s="253">
        <f t="shared" si="2"/>
        <v>0</v>
      </c>
      <c r="AE19" s="196">
        <f t="shared" si="3"/>
        <v>0</v>
      </c>
      <c r="AF19" s="196">
        <f t="shared" si="4"/>
        <v>0</v>
      </c>
      <c r="AG19" s="196">
        <f t="shared" si="5"/>
        <v>0</v>
      </c>
    </row>
    <row r="20" spans="1:33" ht="21" customHeight="1" x14ac:dyDescent="0.2">
      <c r="A20" s="175" t="s">
        <v>228</v>
      </c>
      <c r="B20" s="184" t="s">
        <v>121</v>
      </c>
      <c r="C20" s="177"/>
      <c r="D20" s="173"/>
      <c r="E20" s="173"/>
      <c r="F20" s="173"/>
      <c r="G20" s="173"/>
      <c r="H20" s="173"/>
      <c r="I20" s="173"/>
      <c r="J20" s="173"/>
      <c r="K20" s="173"/>
      <c r="L20" s="173"/>
      <c r="M20" s="173"/>
      <c r="N20" s="173"/>
      <c r="O20" s="173"/>
      <c r="P20" s="173"/>
      <c r="Q20" s="173"/>
      <c r="R20" s="173"/>
      <c r="S20" s="173"/>
      <c r="T20" s="173"/>
      <c r="U20" s="253"/>
      <c r="V20" s="253"/>
      <c r="W20" s="253"/>
      <c r="X20" s="253"/>
      <c r="Y20" s="173"/>
      <c r="Z20" s="173"/>
      <c r="AA20" s="173"/>
      <c r="AB20" s="253">
        <f t="shared" si="0"/>
        <v>0</v>
      </c>
      <c r="AC20" s="253">
        <f t="shared" si="1"/>
        <v>0</v>
      </c>
      <c r="AD20" s="253">
        <f t="shared" si="2"/>
        <v>0</v>
      </c>
      <c r="AE20" s="196">
        <f t="shared" si="3"/>
        <v>0</v>
      </c>
      <c r="AF20" s="196">
        <f t="shared" si="4"/>
        <v>0</v>
      </c>
      <c r="AG20" s="196">
        <f t="shared" si="5"/>
        <v>0</v>
      </c>
    </row>
    <row r="21" spans="1:33" ht="21" customHeight="1" x14ac:dyDescent="0.2">
      <c r="A21" s="175" t="s">
        <v>229</v>
      </c>
      <c r="B21" s="181" t="s">
        <v>239</v>
      </c>
      <c r="C21" s="177" t="s">
        <v>211</v>
      </c>
      <c r="D21" s="173">
        <f>+D9+D10+D11+D12+D13+D17+D18+D19</f>
        <v>144500</v>
      </c>
      <c r="E21" s="173">
        <f t="shared" ref="E21:AA21" si="7">+E9+E10+E11+E12+E13+E17+E18+E19</f>
        <v>11154291</v>
      </c>
      <c r="F21" s="173">
        <f t="shared" si="7"/>
        <v>11154291</v>
      </c>
      <c r="G21" s="173">
        <f t="shared" si="7"/>
        <v>60770384</v>
      </c>
      <c r="H21" s="173">
        <f t="shared" si="7"/>
        <v>80408341</v>
      </c>
      <c r="I21" s="173">
        <f t="shared" si="7"/>
        <v>67392180</v>
      </c>
      <c r="J21" s="173">
        <f t="shared" si="7"/>
        <v>85489695</v>
      </c>
      <c r="K21" s="173">
        <f t="shared" si="7"/>
        <v>73130577</v>
      </c>
      <c r="L21" s="173">
        <f t="shared" si="7"/>
        <v>46964428</v>
      </c>
      <c r="M21" s="173">
        <f t="shared" si="7"/>
        <v>596900</v>
      </c>
      <c r="N21" s="173">
        <f t="shared" si="7"/>
        <v>596900</v>
      </c>
      <c r="O21" s="173">
        <f t="shared" si="7"/>
        <v>127055</v>
      </c>
      <c r="P21" s="173">
        <f t="shared" si="7"/>
        <v>0</v>
      </c>
      <c r="Q21" s="173">
        <f t="shared" si="7"/>
        <v>0</v>
      </c>
      <c r="R21" s="173">
        <f t="shared" si="7"/>
        <v>0</v>
      </c>
      <c r="S21" s="173">
        <f t="shared" ref="S21:X21" si="8">+S9+S10+S11+S12+S13+S17+S18+S19</f>
        <v>0</v>
      </c>
      <c r="T21" s="173">
        <f t="shared" si="8"/>
        <v>350000</v>
      </c>
      <c r="U21" s="173">
        <f t="shared" si="8"/>
        <v>350000</v>
      </c>
      <c r="V21" s="173">
        <f t="shared" si="8"/>
        <v>0</v>
      </c>
      <c r="W21" s="173">
        <f t="shared" si="8"/>
        <v>8841120</v>
      </c>
      <c r="X21" s="173">
        <f t="shared" si="8"/>
        <v>8841120</v>
      </c>
      <c r="Y21" s="173">
        <f t="shared" si="7"/>
        <v>635000</v>
      </c>
      <c r="Z21" s="173">
        <f t="shared" si="7"/>
        <v>22755</v>
      </c>
      <c r="AA21" s="173">
        <f t="shared" si="7"/>
        <v>22355</v>
      </c>
      <c r="AB21" s="176">
        <f>+AB9+AB10+AB11+AB12+AB13+AB17+AB18+AB19</f>
        <v>147636479</v>
      </c>
      <c r="AC21" s="817">
        <f>E21+H21+K21+N21+Q21+Z21+W21+T21</f>
        <v>174503984</v>
      </c>
      <c r="AD21" s="817">
        <f>F21+I21+L21+O21+R21+AA21+U21+X21</f>
        <v>134851429</v>
      </c>
      <c r="AE21" s="196">
        <f t="shared" si="3"/>
        <v>134724374</v>
      </c>
      <c r="AF21" s="196">
        <f t="shared" si="4"/>
        <v>127055</v>
      </c>
      <c r="AG21" s="196">
        <f t="shared" si="5"/>
        <v>0</v>
      </c>
    </row>
    <row r="22" spans="1:33" ht="21" customHeight="1" x14ac:dyDescent="0.2">
      <c r="A22" s="175" t="s">
        <v>230</v>
      </c>
      <c r="B22" s="181" t="s">
        <v>224</v>
      </c>
      <c r="C22" s="177" t="s">
        <v>220</v>
      </c>
      <c r="D22" s="173">
        <f>SUM(D23:D26)</f>
        <v>0</v>
      </c>
      <c r="E22" s="173">
        <f t="shared" ref="E22:Z22" si="9">SUM(E23:E26)</f>
        <v>0</v>
      </c>
      <c r="F22" s="173"/>
      <c r="G22" s="173">
        <f t="shared" si="9"/>
        <v>0</v>
      </c>
      <c r="H22" s="173">
        <f t="shared" si="9"/>
        <v>0</v>
      </c>
      <c r="I22" s="173"/>
      <c r="J22" s="173">
        <f t="shared" si="9"/>
        <v>0</v>
      </c>
      <c r="K22" s="173">
        <f t="shared" si="9"/>
        <v>0</v>
      </c>
      <c r="L22" s="173"/>
      <c r="M22" s="173">
        <f t="shared" si="9"/>
        <v>0</v>
      </c>
      <c r="N22" s="173">
        <f t="shared" si="9"/>
        <v>0</v>
      </c>
      <c r="O22" s="173"/>
      <c r="P22" s="173">
        <f t="shared" si="9"/>
        <v>0</v>
      </c>
      <c r="Q22" s="173">
        <f t="shared" si="9"/>
        <v>0</v>
      </c>
      <c r="R22" s="173">
        <f t="shared" si="9"/>
        <v>0</v>
      </c>
      <c r="S22" s="173">
        <f t="shared" si="9"/>
        <v>0</v>
      </c>
      <c r="T22" s="173">
        <f t="shared" si="9"/>
        <v>0</v>
      </c>
      <c r="U22" s="173">
        <f t="shared" si="9"/>
        <v>0</v>
      </c>
      <c r="V22" s="173">
        <f>SUM(V23:V26)</f>
        <v>0</v>
      </c>
      <c r="W22" s="173">
        <f>SUM(W23:W26)</f>
        <v>0</v>
      </c>
      <c r="X22" s="173">
        <f>SUM(X23:X26)</f>
        <v>0</v>
      </c>
      <c r="Y22" s="173">
        <f t="shared" si="9"/>
        <v>0</v>
      </c>
      <c r="Z22" s="173">
        <f t="shared" si="9"/>
        <v>0</v>
      </c>
      <c r="AA22" s="173"/>
      <c r="AB22" s="253">
        <f t="shared" si="0"/>
        <v>0</v>
      </c>
      <c r="AC22" s="253">
        <f t="shared" si="1"/>
        <v>0</v>
      </c>
      <c r="AD22" s="253">
        <f t="shared" si="2"/>
        <v>0</v>
      </c>
      <c r="AE22" s="196">
        <f t="shared" si="3"/>
        <v>0</v>
      </c>
      <c r="AF22" s="196">
        <f t="shared" si="4"/>
        <v>0</v>
      </c>
      <c r="AG22" s="196">
        <f t="shared" si="5"/>
        <v>0</v>
      </c>
    </row>
    <row r="23" spans="1:33" ht="21" customHeight="1" x14ac:dyDescent="0.2">
      <c r="A23" s="175" t="s">
        <v>231</v>
      </c>
      <c r="B23" s="90" t="s">
        <v>179</v>
      </c>
      <c r="C23" s="179"/>
      <c r="D23" s="173"/>
      <c r="E23" s="173"/>
      <c r="F23" s="173"/>
      <c r="G23" s="173"/>
      <c r="H23" s="173"/>
      <c r="I23" s="173"/>
      <c r="J23" s="173"/>
      <c r="K23" s="173"/>
      <c r="L23" s="173"/>
      <c r="M23" s="173"/>
      <c r="N23" s="173"/>
      <c r="O23" s="173"/>
      <c r="P23" s="173"/>
      <c r="Q23" s="173"/>
      <c r="R23" s="173"/>
      <c r="S23" s="173"/>
      <c r="T23" s="173"/>
      <c r="U23" s="253"/>
      <c r="V23" s="253"/>
      <c r="W23" s="253"/>
      <c r="X23" s="253"/>
      <c r="Y23" s="173"/>
      <c r="Z23" s="173"/>
      <c r="AA23" s="173"/>
      <c r="AB23" s="253">
        <f t="shared" si="0"/>
        <v>0</v>
      </c>
      <c r="AC23" s="253">
        <f t="shared" si="1"/>
        <v>0</v>
      </c>
      <c r="AD23" s="253">
        <f t="shared" si="2"/>
        <v>0</v>
      </c>
      <c r="AE23" s="196">
        <f t="shared" si="3"/>
        <v>0</v>
      </c>
      <c r="AF23" s="196">
        <f t="shared" si="4"/>
        <v>0</v>
      </c>
      <c r="AG23" s="196">
        <f t="shared" si="5"/>
        <v>0</v>
      </c>
    </row>
    <row r="24" spans="1:33" ht="21" customHeight="1" x14ac:dyDescent="0.2">
      <c r="A24" s="175" t="s">
        <v>232</v>
      </c>
      <c r="B24" s="180" t="s">
        <v>520</v>
      </c>
      <c r="C24" s="179"/>
      <c r="D24" s="173"/>
      <c r="E24" s="173"/>
      <c r="F24" s="173"/>
      <c r="G24" s="173"/>
      <c r="H24" s="173"/>
      <c r="I24" s="173"/>
      <c r="J24" s="173"/>
      <c r="K24" s="173"/>
      <c r="L24" s="173"/>
      <c r="M24" s="173"/>
      <c r="N24" s="173"/>
      <c r="O24" s="173"/>
      <c r="P24" s="173"/>
      <c r="Q24" s="173"/>
      <c r="R24" s="173"/>
      <c r="S24" s="173"/>
      <c r="T24" s="173"/>
      <c r="U24" s="253"/>
      <c r="V24" s="253"/>
      <c r="W24" s="253"/>
      <c r="X24" s="253"/>
      <c r="Y24" s="173"/>
      <c r="Z24" s="173"/>
      <c r="AA24" s="173"/>
      <c r="AB24" s="253">
        <f t="shared" si="0"/>
        <v>0</v>
      </c>
      <c r="AC24" s="253">
        <f t="shared" si="1"/>
        <v>0</v>
      </c>
      <c r="AD24" s="253">
        <f t="shared" si="2"/>
        <v>0</v>
      </c>
      <c r="AE24" s="196">
        <f t="shared" si="3"/>
        <v>0</v>
      </c>
      <c r="AF24" s="196">
        <f t="shared" si="4"/>
        <v>0</v>
      </c>
      <c r="AG24" s="196">
        <f t="shared" si="5"/>
        <v>0</v>
      </c>
    </row>
    <row r="25" spans="1:33" ht="21" customHeight="1" x14ac:dyDescent="0.2">
      <c r="A25" s="175" t="s">
        <v>233</v>
      </c>
      <c r="B25" s="180" t="s">
        <v>521</v>
      </c>
      <c r="C25" s="179"/>
      <c r="D25" s="173"/>
      <c r="E25" s="173"/>
      <c r="F25" s="173"/>
      <c r="G25" s="173"/>
      <c r="H25" s="173"/>
      <c r="I25" s="173"/>
      <c r="J25" s="173"/>
      <c r="K25" s="173"/>
      <c r="L25" s="173"/>
      <c r="M25" s="173"/>
      <c r="N25" s="173"/>
      <c r="O25" s="173"/>
      <c r="P25" s="173"/>
      <c r="Q25" s="173"/>
      <c r="R25" s="173"/>
      <c r="S25" s="173"/>
      <c r="T25" s="173"/>
      <c r="U25" s="253"/>
      <c r="V25" s="253"/>
      <c r="W25" s="253"/>
      <c r="X25" s="253"/>
      <c r="Y25" s="173"/>
      <c r="Z25" s="173"/>
      <c r="AA25" s="173"/>
      <c r="AB25" s="253">
        <f t="shared" si="0"/>
        <v>0</v>
      </c>
      <c r="AC25" s="253">
        <f t="shared" si="1"/>
        <v>0</v>
      </c>
      <c r="AD25" s="253">
        <f t="shared" si="2"/>
        <v>0</v>
      </c>
      <c r="AE25" s="196">
        <f t="shared" si="3"/>
        <v>0</v>
      </c>
      <c r="AF25" s="196">
        <f t="shared" si="4"/>
        <v>0</v>
      </c>
      <c r="AG25" s="196">
        <f t="shared" si="5"/>
        <v>0</v>
      </c>
    </row>
    <row r="26" spans="1:33" ht="21" customHeight="1" x14ac:dyDescent="0.2">
      <c r="A26" s="175" t="s">
        <v>234</v>
      </c>
      <c r="B26" s="180" t="s">
        <v>123</v>
      </c>
      <c r="C26" s="179"/>
      <c r="D26" s="173"/>
      <c r="E26" s="173"/>
      <c r="F26" s="173"/>
      <c r="G26" s="173"/>
      <c r="H26" s="173"/>
      <c r="I26" s="173"/>
      <c r="J26" s="173"/>
      <c r="K26" s="173"/>
      <c r="L26" s="173"/>
      <c r="M26" s="173"/>
      <c r="N26" s="173"/>
      <c r="O26" s="173"/>
      <c r="P26" s="173"/>
      <c r="Q26" s="173"/>
      <c r="R26" s="173"/>
      <c r="S26" s="173"/>
      <c r="T26" s="173"/>
      <c r="U26" s="253"/>
      <c r="V26" s="253"/>
      <c r="W26" s="253"/>
      <c r="X26" s="253"/>
      <c r="Y26" s="173"/>
      <c r="Z26" s="173"/>
      <c r="AA26" s="173"/>
      <c r="AB26" s="253">
        <f t="shared" si="0"/>
        <v>0</v>
      </c>
      <c r="AC26" s="253">
        <f t="shared" si="1"/>
        <v>0</v>
      </c>
      <c r="AD26" s="253">
        <f t="shared" si="2"/>
        <v>0</v>
      </c>
      <c r="AE26" s="196">
        <f t="shared" si="3"/>
        <v>0</v>
      </c>
      <c r="AF26" s="196">
        <f t="shared" si="4"/>
        <v>0</v>
      </c>
      <c r="AG26" s="196">
        <f t="shared" si="5"/>
        <v>0</v>
      </c>
    </row>
    <row r="27" spans="1:33" ht="21" customHeight="1" x14ac:dyDescent="0.2">
      <c r="A27" s="175" t="s">
        <v>235</v>
      </c>
      <c r="B27" s="222" t="s">
        <v>742</v>
      </c>
      <c r="C27" s="179"/>
      <c r="D27" s="173"/>
      <c r="E27" s="173"/>
      <c r="F27" s="173"/>
      <c r="G27" s="173"/>
      <c r="H27" s="173"/>
      <c r="I27" s="173"/>
      <c r="J27" s="173"/>
      <c r="K27" s="173"/>
      <c r="L27" s="173"/>
      <c r="M27" s="173"/>
      <c r="N27" s="173"/>
      <c r="O27" s="173"/>
      <c r="P27" s="173"/>
      <c r="Q27" s="173"/>
      <c r="R27" s="173"/>
      <c r="S27" s="173"/>
      <c r="T27" s="173"/>
      <c r="U27" s="253"/>
      <c r="V27" s="253"/>
      <c r="W27" s="253"/>
      <c r="X27" s="253"/>
      <c r="Y27" s="173"/>
      <c r="Z27" s="173"/>
      <c r="AA27" s="173"/>
      <c r="AB27" s="253">
        <f t="shared" si="0"/>
        <v>0</v>
      </c>
      <c r="AC27" s="253">
        <f t="shared" si="1"/>
        <v>0</v>
      </c>
      <c r="AD27" s="253">
        <f t="shared" si="2"/>
        <v>0</v>
      </c>
      <c r="AE27" s="196">
        <f t="shared" si="3"/>
        <v>0</v>
      </c>
      <c r="AF27" s="196">
        <f t="shared" si="4"/>
        <v>0</v>
      </c>
      <c r="AG27" s="196">
        <f t="shared" si="5"/>
        <v>0</v>
      </c>
    </row>
    <row r="28" spans="1:33" ht="21" customHeight="1" x14ac:dyDescent="0.2">
      <c r="A28" s="175" t="s">
        <v>236</v>
      </c>
      <c r="B28" s="178" t="s">
        <v>32</v>
      </c>
      <c r="C28" s="177"/>
      <c r="D28" s="176">
        <f>+D9+D10+D11+D12+D13+D23+D24</f>
        <v>144500</v>
      </c>
      <c r="E28" s="176">
        <f t="shared" ref="E28:AB28" si="10">+E9+E10+E11+E12+E13+E23+E24</f>
        <v>11154291</v>
      </c>
      <c r="F28" s="176">
        <f t="shared" si="10"/>
        <v>11154291</v>
      </c>
      <c r="G28" s="176">
        <f t="shared" si="10"/>
        <v>59640084</v>
      </c>
      <c r="H28" s="176">
        <f t="shared" si="10"/>
        <v>78173141</v>
      </c>
      <c r="I28" s="176">
        <f t="shared" si="10"/>
        <v>65657430</v>
      </c>
      <c r="J28" s="176">
        <f t="shared" si="10"/>
        <v>80341178</v>
      </c>
      <c r="K28" s="176">
        <f t="shared" si="10"/>
        <v>67982060</v>
      </c>
      <c r="L28" s="176">
        <f t="shared" si="10"/>
        <v>43166592</v>
      </c>
      <c r="M28" s="176">
        <f t="shared" si="10"/>
        <v>469900</v>
      </c>
      <c r="N28" s="176">
        <f t="shared" si="10"/>
        <v>469900</v>
      </c>
      <c r="O28" s="176">
        <f t="shared" si="10"/>
        <v>119765</v>
      </c>
      <c r="P28" s="176">
        <f t="shared" si="10"/>
        <v>0</v>
      </c>
      <c r="Q28" s="176">
        <f t="shared" si="10"/>
        <v>0</v>
      </c>
      <c r="R28" s="176">
        <f t="shared" si="10"/>
        <v>0</v>
      </c>
      <c r="S28" s="176">
        <f t="shared" ref="S28:X28" si="11">+S9+S10+S11+S12+S13+S23+S24</f>
        <v>0</v>
      </c>
      <c r="T28" s="176">
        <f t="shared" si="11"/>
        <v>350000</v>
      </c>
      <c r="U28" s="176">
        <f t="shared" si="11"/>
        <v>350000</v>
      </c>
      <c r="V28" s="176">
        <f t="shared" si="11"/>
        <v>0</v>
      </c>
      <c r="W28" s="176">
        <f t="shared" si="11"/>
        <v>8841120</v>
      </c>
      <c r="X28" s="176">
        <f t="shared" si="11"/>
        <v>8841120</v>
      </c>
      <c r="Y28" s="176">
        <f t="shared" si="10"/>
        <v>635000</v>
      </c>
      <c r="Z28" s="176">
        <f t="shared" si="10"/>
        <v>22755</v>
      </c>
      <c r="AA28" s="176">
        <f t="shared" si="10"/>
        <v>22355</v>
      </c>
      <c r="AB28" s="176">
        <f t="shared" si="10"/>
        <v>141230662</v>
      </c>
      <c r="AC28" s="817">
        <f>E28+H28+K28+N28+Q28+Z28+W28+T28</f>
        <v>166993267</v>
      </c>
      <c r="AD28" s="817">
        <f>F28+I28+L28+O28+R28+AA28+U28+X28</f>
        <v>129311553</v>
      </c>
      <c r="AE28" s="196">
        <f t="shared" si="3"/>
        <v>129191788</v>
      </c>
      <c r="AF28" s="196">
        <f t="shared" si="4"/>
        <v>119765</v>
      </c>
      <c r="AG28" s="196">
        <f t="shared" si="5"/>
        <v>0</v>
      </c>
    </row>
    <row r="29" spans="1:33" ht="21" customHeight="1" x14ac:dyDescent="0.2">
      <c r="A29" s="175" t="s">
        <v>261</v>
      </c>
      <c r="B29" s="178" t="s">
        <v>33</v>
      </c>
      <c r="C29" s="177"/>
      <c r="D29" s="176">
        <f>+D17+D18+D19+D25+D26</f>
        <v>0</v>
      </c>
      <c r="E29" s="176">
        <f t="shared" ref="E29:AB29" si="12">+E17+E18+E19+E25+E26</f>
        <v>0</v>
      </c>
      <c r="F29" s="176">
        <f t="shared" si="12"/>
        <v>0</v>
      </c>
      <c r="G29" s="176">
        <f t="shared" si="12"/>
        <v>1130300</v>
      </c>
      <c r="H29" s="176">
        <f t="shared" si="12"/>
        <v>2235200</v>
      </c>
      <c r="I29" s="176">
        <f t="shared" si="12"/>
        <v>1734750</v>
      </c>
      <c r="J29" s="176">
        <f t="shared" si="12"/>
        <v>5148517</v>
      </c>
      <c r="K29" s="176">
        <f t="shared" si="12"/>
        <v>5148517</v>
      </c>
      <c r="L29" s="176">
        <f t="shared" si="12"/>
        <v>3797836</v>
      </c>
      <c r="M29" s="176">
        <f t="shared" si="12"/>
        <v>127000</v>
      </c>
      <c r="N29" s="176">
        <f t="shared" si="12"/>
        <v>127000</v>
      </c>
      <c r="O29" s="176">
        <f t="shared" si="12"/>
        <v>7290</v>
      </c>
      <c r="P29" s="176">
        <f t="shared" si="12"/>
        <v>0</v>
      </c>
      <c r="Q29" s="176">
        <f t="shared" si="12"/>
        <v>0</v>
      </c>
      <c r="R29" s="176">
        <f t="shared" si="12"/>
        <v>0</v>
      </c>
      <c r="S29" s="176">
        <f t="shared" ref="S29:X29" si="13">+S17+S18+S19+S25+S26</f>
        <v>0</v>
      </c>
      <c r="T29" s="176">
        <f t="shared" si="13"/>
        <v>0</v>
      </c>
      <c r="U29" s="176">
        <f t="shared" si="13"/>
        <v>0</v>
      </c>
      <c r="V29" s="176">
        <f t="shared" si="13"/>
        <v>0</v>
      </c>
      <c r="W29" s="176">
        <f t="shared" si="13"/>
        <v>0</v>
      </c>
      <c r="X29" s="176">
        <f t="shared" si="13"/>
        <v>0</v>
      </c>
      <c r="Y29" s="176">
        <f t="shared" si="12"/>
        <v>0</v>
      </c>
      <c r="Z29" s="176">
        <f t="shared" si="12"/>
        <v>0</v>
      </c>
      <c r="AA29" s="176">
        <f t="shared" si="12"/>
        <v>0</v>
      </c>
      <c r="AB29" s="176">
        <f t="shared" si="12"/>
        <v>6405817</v>
      </c>
      <c r="AC29" s="817">
        <f t="shared" si="1"/>
        <v>7510717</v>
      </c>
      <c r="AD29" s="817">
        <f t="shared" si="2"/>
        <v>5539876</v>
      </c>
      <c r="AE29" s="196">
        <f t="shared" si="3"/>
        <v>5532586</v>
      </c>
      <c r="AF29" s="196">
        <f t="shared" si="4"/>
        <v>7290</v>
      </c>
      <c r="AG29" s="196">
        <f t="shared" si="5"/>
        <v>0</v>
      </c>
    </row>
    <row r="30" spans="1:33" ht="21" customHeight="1" x14ac:dyDescent="0.2">
      <c r="A30" s="175" t="s">
        <v>262</v>
      </c>
      <c r="B30" s="178" t="s">
        <v>328</v>
      </c>
      <c r="C30" s="177" t="s">
        <v>31</v>
      </c>
      <c r="D30" s="176">
        <f>SUM(D28:D29)</f>
        <v>144500</v>
      </c>
      <c r="E30" s="176">
        <f t="shared" ref="E30:AB30" si="14">SUM(E28:E29)</f>
        <v>11154291</v>
      </c>
      <c r="F30" s="176">
        <f t="shared" si="14"/>
        <v>11154291</v>
      </c>
      <c r="G30" s="176">
        <f t="shared" si="14"/>
        <v>60770384</v>
      </c>
      <c r="H30" s="176">
        <f t="shared" si="14"/>
        <v>80408341</v>
      </c>
      <c r="I30" s="176">
        <f t="shared" si="14"/>
        <v>67392180</v>
      </c>
      <c r="J30" s="176">
        <f t="shared" si="14"/>
        <v>85489695</v>
      </c>
      <c r="K30" s="176">
        <f t="shared" si="14"/>
        <v>73130577</v>
      </c>
      <c r="L30" s="176">
        <f t="shared" si="14"/>
        <v>46964428</v>
      </c>
      <c r="M30" s="176">
        <f t="shared" si="14"/>
        <v>596900</v>
      </c>
      <c r="N30" s="176">
        <f t="shared" si="14"/>
        <v>596900</v>
      </c>
      <c r="O30" s="176">
        <f t="shared" si="14"/>
        <v>127055</v>
      </c>
      <c r="P30" s="176">
        <f t="shared" si="14"/>
        <v>0</v>
      </c>
      <c r="Q30" s="176">
        <f t="shared" si="14"/>
        <v>0</v>
      </c>
      <c r="R30" s="176">
        <f t="shared" si="14"/>
        <v>0</v>
      </c>
      <c r="S30" s="176">
        <f t="shared" ref="S30:X30" si="15">SUM(S28:S29)</f>
        <v>0</v>
      </c>
      <c r="T30" s="176">
        <f t="shared" si="15"/>
        <v>350000</v>
      </c>
      <c r="U30" s="176">
        <f t="shared" si="15"/>
        <v>350000</v>
      </c>
      <c r="V30" s="176">
        <f t="shared" si="15"/>
        <v>0</v>
      </c>
      <c r="W30" s="176">
        <f t="shared" si="15"/>
        <v>8841120</v>
      </c>
      <c r="X30" s="176">
        <f t="shared" si="15"/>
        <v>8841120</v>
      </c>
      <c r="Y30" s="176">
        <f t="shared" si="14"/>
        <v>635000</v>
      </c>
      <c r="Z30" s="176">
        <f t="shared" si="14"/>
        <v>22755</v>
      </c>
      <c r="AA30" s="176">
        <f t="shared" si="14"/>
        <v>22355</v>
      </c>
      <c r="AB30" s="176">
        <f t="shared" si="14"/>
        <v>147636479</v>
      </c>
      <c r="AC30" s="817">
        <f>E30+H30+K30+N30+Q30+Z30+W30+T30</f>
        <v>174503984</v>
      </c>
      <c r="AD30" s="817">
        <f>F30+I30+L30+O30+R30+AA30+U30+X30</f>
        <v>134851429</v>
      </c>
      <c r="AE30" s="196">
        <f t="shared" si="3"/>
        <v>134724374</v>
      </c>
      <c r="AF30" s="196">
        <f t="shared" si="4"/>
        <v>127055</v>
      </c>
      <c r="AG30" s="196">
        <f t="shared" si="5"/>
        <v>0</v>
      </c>
    </row>
    <row r="31" spans="1:33" ht="21" customHeight="1" x14ac:dyDescent="0.2">
      <c r="A31" s="175" t="s">
        <v>263</v>
      </c>
      <c r="B31" s="183" t="s">
        <v>52</v>
      </c>
      <c r="C31" s="181" t="s">
        <v>212</v>
      </c>
      <c r="D31" s="173"/>
      <c r="E31" s="173"/>
      <c r="F31" s="173"/>
      <c r="G31" s="173"/>
      <c r="H31" s="173"/>
      <c r="I31" s="173"/>
      <c r="J31" s="173"/>
      <c r="K31" s="173"/>
      <c r="L31" s="173"/>
      <c r="M31" s="173"/>
      <c r="N31" s="173"/>
      <c r="O31" s="173"/>
      <c r="P31" s="173"/>
      <c r="Q31" s="173"/>
      <c r="R31" s="173"/>
      <c r="S31" s="173"/>
      <c r="T31" s="173">
        <v>350000</v>
      </c>
      <c r="U31" s="173">
        <v>350000</v>
      </c>
      <c r="V31" s="173"/>
      <c r="W31" s="173"/>
      <c r="X31" s="173"/>
      <c r="Y31" s="173"/>
      <c r="Z31" s="173"/>
      <c r="AA31" s="173"/>
      <c r="AB31" s="253">
        <f t="shared" si="0"/>
        <v>0</v>
      </c>
      <c r="AC31" s="253">
        <f>E31+H31+K31+N31+Q31+Z31+W31+T31</f>
        <v>350000</v>
      </c>
      <c r="AD31" s="253">
        <f>F31+I31+L31+O31+R31+AA31+U31+X31</f>
        <v>350000</v>
      </c>
      <c r="AE31" s="196">
        <f t="shared" si="3"/>
        <v>350000</v>
      </c>
      <c r="AF31" s="196">
        <f t="shared" si="4"/>
        <v>0</v>
      </c>
      <c r="AG31" s="196">
        <f t="shared" si="5"/>
        <v>0</v>
      </c>
    </row>
    <row r="32" spans="1:33" ht="21" customHeight="1" x14ac:dyDescent="0.2">
      <c r="A32" s="175" t="s">
        <v>264</v>
      </c>
      <c r="B32" s="183" t="s">
        <v>223</v>
      </c>
      <c r="C32" s="181" t="s">
        <v>213</v>
      </c>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253">
        <f t="shared" si="0"/>
        <v>0</v>
      </c>
      <c r="AC32" s="253">
        <f t="shared" si="1"/>
        <v>0</v>
      </c>
      <c r="AD32" s="253">
        <f t="shared" si="2"/>
        <v>0</v>
      </c>
      <c r="AE32" s="196">
        <f t="shared" si="3"/>
        <v>0</v>
      </c>
      <c r="AF32" s="196">
        <f t="shared" si="4"/>
        <v>0</v>
      </c>
      <c r="AG32" s="196">
        <f t="shared" si="5"/>
        <v>0</v>
      </c>
    </row>
    <row r="33" spans="1:33" ht="21" customHeight="1" x14ac:dyDescent="0.2">
      <c r="A33" s="175" t="s">
        <v>265</v>
      </c>
      <c r="B33" s="183" t="s">
        <v>222</v>
      </c>
      <c r="C33" s="181" t="s">
        <v>214</v>
      </c>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253">
        <f t="shared" si="0"/>
        <v>0</v>
      </c>
      <c r="AC33" s="253">
        <f t="shared" si="1"/>
        <v>0</v>
      </c>
      <c r="AD33" s="253">
        <f t="shared" si="2"/>
        <v>0</v>
      </c>
      <c r="AE33" s="196">
        <f t="shared" si="3"/>
        <v>0</v>
      </c>
      <c r="AF33" s="196">
        <f t="shared" si="4"/>
        <v>0</v>
      </c>
      <c r="AG33" s="196">
        <f t="shared" si="5"/>
        <v>0</v>
      </c>
    </row>
    <row r="34" spans="1:33" ht="21" customHeight="1" x14ac:dyDescent="0.2">
      <c r="A34" s="175" t="s">
        <v>266</v>
      </c>
      <c r="B34" s="182" t="s">
        <v>0</v>
      </c>
      <c r="C34" s="181" t="s">
        <v>215</v>
      </c>
      <c r="D34" s="173"/>
      <c r="E34" s="173"/>
      <c r="F34" s="173"/>
      <c r="G34" s="253">
        <v>5080000</v>
      </c>
      <c r="H34" s="253">
        <v>4224400</v>
      </c>
      <c r="I34" s="253">
        <v>4129400</v>
      </c>
      <c r="J34" s="253">
        <v>5148600</v>
      </c>
      <c r="K34" s="253">
        <v>8771615</v>
      </c>
      <c r="L34" s="253">
        <v>8225415</v>
      </c>
      <c r="M34" s="173"/>
      <c r="N34" s="173"/>
      <c r="O34" s="173"/>
      <c r="P34" s="173">
        <v>144500</v>
      </c>
      <c r="Q34" s="173">
        <f>144500-142161-2339</f>
        <v>0</v>
      </c>
      <c r="R34" s="173"/>
      <c r="S34" s="173"/>
      <c r="T34" s="173"/>
      <c r="U34" s="173"/>
      <c r="V34" s="173"/>
      <c r="W34" s="173"/>
      <c r="X34" s="173"/>
      <c r="Y34" s="173">
        <v>635000</v>
      </c>
      <c r="Z34" s="173">
        <v>21849</v>
      </c>
      <c r="AA34" s="173">
        <v>17951</v>
      </c>
      <c r="AB34" s="253">
        <f t="shared" si="0"/>
        <v>11008100</v>
      </c>
      <c r="AC34" s="253">
        <f t="shared" si="1"/>
        <v>13017864</v>
      </c>
      <c r="AD34" s="253">
        <f t="shared" si="2"/>
        <v>12372766</v>
      </c>
      <c r="AE34" s="196">
        <f t="shared" si="3"/>
        <v>12372766</v>
      </c>
      <c r="AF34" s="196">
        <f t="shared" si="4"/>
        <v>0</v>
      </c>
      <c r="AG34" s="196">
        <f t="shared" si="5"/>
        <v>0</v>
      </c>
    </row>
    <row r="35" spans="1:33" ht="21" customHeight="1" x14ac:dyDescent="0.2">
      <c r="A35" s="175" t="s">
        <v>267</v>
      </c>
      <c r="B35" s="183" t="s">
        <v>245</v>
      </c>
      <c r="C35" s="181" t="s">
        <v>216</v>
      </c>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253">
        <f t="shared" si="0"/>
        <v>0</v>
      </c>
      <c r="AC35" s="253">
        <f t="shared" si="1"/>
        <v>0</v>
      </c>
      <c r="AD35" s="253">
        <f t="shared" si="2"/>
        <v>0</v>
      </c>
      <c r="AE35" s="196">
        <f t="shared" si="3"/>
        <v>0</v>
      </c>
      <c r="AF35" s="196">
        <f t="shared" si="4"/>
        <v>0</v>
      </c>
      <c r="AG35" s="196">
        <f t="shared" si="5"/>
        <v>0</v>
      </c>
    </row>
    <row r="36" spans="1:33" ht="21" customHeight="1" x14ac:dyDescent="0.2">
      <c r="A36" s="175" t="s">
        <v>268</v>
      </c>
      <c r="B36" s="183" t="s">
        <v>240</v>
      </c>
      <c r="C36" s="181" t="s">
        <v>217</v>
      </c>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253">
        <f t="shared" si="0"/>
        <v>0</v>
      </c>
      <c r="AC36" s="253">
        <f t="shared" si="1"/>
        <v>0</v>
      </c>
      <c r="AD36" s="253">
        <f t="shared" si="2"/>
        <v>0</v>
      </c>
      <c r="AE36" s="196">
        <f t="shared" si="3"/>
        <v>0</v>
      </c>
      <c r="AF36" s="196">
        <f t="shared" si="4"/>
        <v>0</v>
      </c>
      <c r="AG36" s="196">
        <f t="shared" si="5"/>
        <v>0</v>
      </c>
    </row>
    <row r="37" spans="1:33" ht="21" customHeight="1" x14ac:dyDescent="0.2">
      <c r="A37" s="175" t="s">
        <v>269</v>
      </c>
      <c r="B37" s="183" t="s">
        <v>241</v>
      </c>
      <c r="C37" s="181" t="s">
        <v>218</v>
      </c>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253">
        <f t="shared" si="0"/>
        <v>0</v>
      </c>
      <c r="AC37" s="253">
        <f t="shared" si="1"/>
        <v>0</v>
      </c>
      <c r="AD37" s="253">
        <f t="shared" si="2"/>
        <v>0</v>
      </c>
      <c r="AE37" s="196">
        <f t="shared" si="3"/>
        <v>0</v>
      </c>
      <c r="AF37" s="196">
        <f t="shared" si="4"/>
        <v>0</v>
      </c>
      <c r="AG37" s="196">
        <f t="shared" si="5"/>
        <v>0</v>
      </c>
    </row>
    <row r="38" spans="1:33" ht="21" customHeight="1" x14ac:dyDescent="0.2">
      <c r="A38" s="175" t="s">
        <v>270</v>
      </c>
      <c r="B38" s="182" t="s">
        <v>242</v>
      </c>
      <c r="C38" s="181" t="s">
        <v>219</v>
      </c>
      <c r="D38" s="173">
        <f>+D31+D32+D33+D34+D35+D36+D37</f>
        <v>0</v>
      </c>
      <c r="E38" s="173">
        <f t="shared" ref="E38:Z38" si="16">+E31+E32+E33+E34+E35+E36+E37</f>
        <v>0</v>
      </c>
      <c r="F38" s="173">
        <f t="shared" si="16"/>
        <v>0</v>
      </c>
      <c r="G38" s="173">
        <f t="shared" si="16"/>
        <v>5080000</v>
      </c>
      <c r="H38" s="173">
        <f t="shared" si="16"/>
        <v>4224400</v>
      </c>
      <c r="I38" s="173">
        <f t="shared" si="16"/>
        <v>4129400</v>
      </c>
      <c r="J38" s="173">
        <f t="shared" si="16"/>
        <v>5148600</v>
      </c>
      <c r="K38" s="173">
        <f t="shared" si="16"/>
        <v>8771615</v>
      </c>
      <c r="L38" s="173">
        <f t="shared" si="16"/>
        <v>8225415</v>
      </c>
      <c r="M38" s="173">
        <f t="shared" si="16"/>
        <v>0</v>
      </c>
      <c r="N38" s="173">
        <f t="shared" si="16"/>
        <v>0</v>
      </c>
      <c r="O38" s="173">
        <f t="shared" si="16"/>
        <v>0</v>
      </c>
      <c r="P38" s="173">
        <f t="shared" si="16"/>
        <v>144500</v>
      </c>
      <c r="Q38" s="173">
        <f t="shared" si="16"/>
        <v>0</v>
      </c>
      <c r="R38" s="173">
        <f t="shared" si="16"/>
        <v>0</v>
      </c>
      <c r="S38" s="173">
        <f t="shared" si="16"/>
        <v>0</v>
      </c>
      <c r="T38" s="173">
        <f t="shared" si="16"/>
        <v>350000</v>
      </c>
      <c r="U38" s="173">
        <f t="shared" si="16"/>
        <v>350000</v>
      </c>
      <c r="V38" s="173">
        <f>+V31+V32+V33+V34+V35+V36+V37</f>
        <v>0</v>
      </c>
      <c r="W38" s="173">
        <f>+W31+W32+W33+W34+W35+W36+W37</f>
        <v>0</v>
      </c>
      <c r="X38" s="173">
        <f>+X31+X32+X33+X34+X35+X36+X37</f>
        <v>0</v>
      </c>
      <c r="Y38" s="173">
        <f t="shared" si="16"/>
        <v>635000</v>
      </c>
      <c r="Z38" s="173">
        <f t="shared" si="16"/>
        <v>21849</v>
      </c>
      <c r="AA38" s="173">
        <f>+AA31+AA32+AA33+AA34+AA35+AA36+AA37</f>
        <v>17951</v>
      </c>
      <c r="AB38" s="176">
        <f>+AB31+AB32+AB33+AB34+AB35+AB36+AB37</f>
        <v>11008100</v>
      </c>
      <c r="AC38" s="817">
        <f>E38+H38+K38+N38+Q38+Z38+W38+T38</f>
        <v>13367864</v>
      </c>
      <c r="AD38" s="817">
        <f>F38+I38+L38+O38+R38+AA38+U38+X38</f>
        <v>12722766</v>
      </c>
      <c r="AE38" s="196">
        <f t="shared" si="3"/>
        <v>12722766</v>
      </c>
      <c r="AF38" s="196">
        <f t="shared" si="4"/>
        <v>0</v>
      </c>
      <c r="AG38" s="196">
        <f t="shared" si="5"/>
        <v>0</v>
      </c>
    </row>
    <row r="39" spans="1:33" ht="21.75" customHeight="1" x14ac:dyDescent="0.2">
      <c r="A39" s="175" t="s">
        <v>271</v>
      </c>
      <c r="B39" s="181" t="s">
        <v>243</v>
      </c>
      <c r="C39" s="177" t="s">
        <v>221</v>
      </c>
      <c r="D39" s="173">
        <f>SUM(D41:D45)</f>
        <v>136628379</v>
      </c>
      <c r="E39" s="173">
        <f>SUM(E41:E45)</f>
        <v>161136120</v>
      </c>
      <c r="F39" s="173">
        <f t="shared" ref="F39:AB39" si="17">SUM(F41:F45)</f>
        <v>131158638</v>
      </c>
      <c r="G39" s="173">
        <f t="shared" si="17"/>
        <v>0</v>
      </c>
      <c r="H39" s="173">
        <f t="shared" si="17"/>
        <v>0</v>
      </c>
      <c r="I39" s="173">
        <f t="shared" si="17"/>
        <v>0</v>
      </c>
      <c r="J39" s="173">
        <f t="shared" si="17"/>
        <v>0</v>
      </c>
      <c r="K39" s="173">
        <f t="shared" si="17"/>
        <v>0</v>
      </c>
      <c r="L39" s="173">
        <f t="shared" si="17"/>
        <v>0</v>
      </c>
      <c r="M39" s="173">
        <f t="shared" si="17"/>
        <v>0</v>
      </c>
      <c r="N39" s="173">
        <f t="shared" si="17"/>
        <v>0</v>
      </c>
      <c r="O39" s="173">
        <f t="shared" si="17"/>
        <v>0</v>
      </c>
      <c r="P39" s="173">
        <f t="shared" si="17"/>
        <v>0</v>
      </c>
      <c r="Q39" s="173">
        <f t="shared" si="17"/>
        <v>0</v>
      </c>
      <c r="R39" s="173">
        <f t="shared" si="17"/>
        <v>0</v>
      </c>
      <c r="S39" s="173">
        <f t="shared" si="17"/>
        <v>0</v>
      </c>
      <c r="T39" s="173">
        <f t="shared" si="17"/>
        <v>0</v>
      </c>
      <c r="U39" s="173">
        <f t="shared" si="17"/>
        <v>0</v>
      </c>
      <c r="V39" s="173">
        <f>SUM(V41:V45)</f>
        <v>0</v>
      </c>
      <c r="W39" s="173">
        <f>SUM(W41:W45)</f>
        <v>0</v>
      </c>
      <c r="X39" s="173">
        <f>SUM(X41:X45)</f>
        <v>0</v>
      </c>
      <c r="Y39" s="173">
        <f t="shared" si="17"/>
        <v>0</v>
      </c>
      <c r="Z39" s="173">
        <f t="shared" si="17"/>
        <v>0</v>
      </c>
      <c r="AA39" s="173">
        <f t="shared" si="17"/>
        <v>0</v>
      </c>
      <c r="AB39" s="173">
        <f t="shared" si="17"/>
        <v>136628379</v>
      </c>
      <c r="AC39" s="253">
        <f t="shared" si="1"/>
        <v>161136120</v>
      </c>
      <c r="AD39" s="253">
        <f t="shared" si="2"/>
        <v>131158638</v>
      </c>
      <c r="AE39" s="196">
        <f t="shared" si="3"/>
        <v>131158638</v>
      </c>
      <c r="AF39" s="196">
        <f t="shared" si="4"/>
        <v>0</v>
      </c>
      <c r="AG39" s="196">
        <f t="shared" si="5"/>
        <v>0</v>
      </c>
    </row>
    <row r="40" spans="1:33" ht="21.75" customHeight="1" x14ac:dyDescent="0.2">
      <c r="A40" s="175" t="s">
        <v>272</v>
      </c>
      <c r="B40" s="90" t="s">
        <v>543</v>
      </c>
      <c r="C40" s="177"/>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253">
        <f t="shared" si="0"/>
        <v>0</v>
      </c>
      <c r="AC40" s="253">
        <f t="shared" si="1"/>
        <v>0</v>
      </c>
      <c r="AD40" s="253">
        <f t="shared" si="2"/>
        <v>0</v>
      </c>
      <c r="AE40" s="196">
        <f t="shared" si="3"/>
        <v>0</v>
      </c>
      <c r="AF40" s="196">
        <f t="shared" si="4"/>
        <v>0</v>
      </c>
      <c r="AG40" s="196">
        <f t="shared" si="5"/>
        <v>0</v>
      </c>
    </row>
    <row r="41" spans="1:33" ht="21.75" customHeight="1" x14ac:dyDescent="0.2">
      <c r="A41" s="175" t="s">
        <v>273</v>
      </c>
      <c r="B41" s="180" t="s">
        <v>768</v>
      </c>
      <c r="C41" s="179"/>
      <c r="D41" s="173">
        <f>302860+343864</f>
        <v>646724</v>
      </c>
      <c r="E41" s="173">
        <f>302860+343864+11154291</f>
        <v>11801015</v>
      </c>
      <c r="F41" s="173">
        <f>14949282-F42</f>
        <v>11801015</v>
      </c>
      <c r="G41" s="173"/>
      <c r="H41" s="173"/>
      <c r="I41" s="173"/>
      <c r="J41" s="173"/>
      <c r="K41" s="173"/>
      <c r="L41" s="173"/>
      <c r="M41" s="173"/>
      <c r="N41" s="173"/>
      <c r="O41" s="173"/>
      <c r="P41" s="173"/>
      <c r="Q41" s="173"/>
      <c r="R41" s="173"/>
      <c r="S41" s="173"/>
      <c r="T41" s="173"/>
      <c r="U41" s="173"/>
      <c r="V41" s="173"/>
      <c r="W41" s="173"/>
      <c r="X41" s="173"/>
      <c r="Y41" s="173"/>
      <c r="Z41" s="173"/>
      <c r="AA41" s="173"/>
      <c r="AB41" s="253">
        <f t="shared" si="0"/>
        <v>646724</v>
      </c>
      <c r="AC41" s="253">
        <f t="shared" si="1"/>
        <v>11801015</v>
      </c>
      <c r="AD41" s="253">
        <f t="shared" si="2"/>
        <v>11801015</v>
      </c>
      <c r="AE41" s="196">
        <f t="shared" si="3"/>
        <v>11801015</v>
      </c>
      <c r="AF41" s="196">
        <f t="shared" si="4"/>
        <v>0</v>
      </c>
      <c r="AG41" s="196">
        <f t="shared" si="5"/>
        <v>0</v>
      </c>
    </row>
    <row r="42" spans="1:33" ht="21.75" customHeight="1" x14ac:dyDescent="0.2">
      <c r="A42" s="175" t="s">
        <v>277</v>
      </c>
      <c r="B42" s="180" t="s">
        <v>769</v>
      </c>
      <c r="C42" s="179"/>
      <c r="D42" s="173">
        <v>3148267</v>
      </c>
      <c r="E42" s="173">
        <f>3148267</f>
        <v>3148267</v>
      </c>
      <c r="F42" s="173">
        <v>3148267</v>
      </c>
      <c r="G42" s="173"/>
      <c r="H42" s="173"/>
      <c r="I42" s="173"/>
      <c r="J42" s="173"/>
      <c r="K42" s="173"/>
      <c r="L42" s="173"/>
      <c r="M42" s="173"/>
      <c r="N42" s="173"/>
      <c r="O42" s="173"/>
      <c r="P42" s="173"/>
      <c r="Q42" s="173"/>
      <c r="R42" s="173"/>
      <c r="S42" s="173"/>
      <c r="T42" s="173"/>
      <c r="U42" s="173"/>
      <c r="V42" s="173"/>
      <c r="W42" s="173"/>
      <c r="X42" s="173"/>
      <c r="Y42" s="173"/>
      <c r="Z42" s="173"/>
      <c r="AA42" s="173"/>
      <c r="AB42" s="253">
        <f t="shared" si="0"/>
        <v>3148267</v>
      </c>
      <c r="AC42" s="253">
        <f t="shared" si="1"/>
        <v>3148267</v>
      </c>
      <c r="AD42" s="253">
        <f t="shared" si="2"/>
        <v>3148267</v>
      </c>
      <c r="AE42" s="196">
        <f t="shared" si="3"/>
        <v>3148267</v>
      </c>
      <c r="AF42" s="196">
        <f t="shared" si="4"/>
        <v>0</v>
      </c>
      <c r="AG42" s="196">
        <f t="shared" si="5"/>
        <v>0</v>
      </c>
    </row>
    <row r="43" spans="1:33" ht="21.75" customHeight="1" x14ac:dyDescent="0.2">
      <c r="A43" s="175" t="s">
        <v>278</v>
      </c>
      <c r="B43" s="180" t="s">
        <v>506</v>
      </c>
      <c r="C43" s="179"/>
      <c r="D43" s="173">
        <f>AB28-AB31-AB33-AB34-AB36-AB41</f>
        <v>129575838</v>
      </c>
      <c r="E43" s="173">
        <f>AC28-AC31-AC33-AC34-AC36-AC41</f>
        <v>141824388</v>
      </c>
      <c r="F43" s="173">
        <f>116209356-F44</f>
        <v>111846906</v>
      </c>
      <c r="G43" s="173"/>
      <c r="H43" s="173"/>
      <c r="I43" s="173"/>
      <c r="J43" s="173"/>
      <c r="K43" s="173"/>
      <c r="L43" s="173"/>
      <c r="M43" s="173"/>
      <c r="N43" s="173"/>
      <c r="O43" s="173"/>
      <c r="P43" s="173"/>
      <c r="Q43" s="173"/>
      <c r="R43" s="173"/>
      <c r="S43" s="173"/>
      <c r="T43" s="173"/>
      <c r="U43" s="173"/>
      <c r="V43" s="173"/>
      <c r="W43" s="173"/>
      <c r="X43" s="173"/>
      <c r="Y43" s="173"/>
      <c r="Z43" s="173"/>
      <c r="AA43" s="173"/>
      <c r="AB43" s="253">
        <f t="shared" si="0"/>
        <v>129575838</v>
      </c>
      <c r="AC43" s="253">
        <f t="shared" si="1"/>
        <v>141824388</v>
      </c>
      <c r="AD43" s="253">
        <f t="shared" si="2"/>
        <v>111846906</v>
      </c>
      <c r="AE43" s="196">
        <f t="shared" si="3"/>
        <v>111846906</v>
      </c>
      <c r="AF43" s="196">
        <f t="shared" si="4"/>
        <v>0</v>
      </c>
      <c r="AG43" s="196">
        <f t="shared" si="5"/>
        <v>0</v>
      </c>
    </row>
    <row r="44" spans="1:33" ht="21.75" customHeight="1" x14ac:dyDescent="0.2">
      <c r="A44" s="175" t="s">
        <v>279</v>
      </c>
      <c r="B44" s="180" t="s">
        <v>507</v>
      </c>
      <c r="C44" s="179"/>
      <c r="D44" s="173">
        <f>AB29-AB32-AB35-AB37-AB42</f>
        <v>3257550</v>
      </c>
      <c r="E44" s="173">
        <f>AC29-AC32-AC35-AC37-AC42</f>
        <v>4362450</v>
      </c>
      <c r="F44" s="173">
        <v>4362450</v>
      </c>
      <c r="G44" s="173"/>
      <c r="H44" s="173"/>
      <c r="I44" s="173"/>
      <c r="J44" s="173"/>
      <c r="K44" s="173"/>
      <c r="L44" s="173"/>
      <c r="M44" s="173"/>
      <c r="N44" s="173"/>
      <c r="O44" s="173"/>
      <c r="P44" s="173"/>
      <c r="Q44" s="173"/>
      <c r="R44" s="173"/>
      <c r="S44" s="173"/>
      <c r="T44" s="173"/>
      <c r="U44" s="173"/>
      <c r="V44" s="173"/>
      <c r="W44" s="173"/>
      <c r="X44" s="173"/>
      <c r="Y44" s="173"/>
      <c r="Z44" s="173"/>
      <c r="AA44" s="173"/>
      <c r="AB44" s="253">
        <f t="shared" si="0"/>
        <v>3257550</v>
      </c>
      <c r="AC44" s="253">
        <f t="shared" si="1"/>
        <v>4362450</v>
      </c>
      <c r="AD44" s="253">
        <f t="shared" si="2"/>
        <v>4362450</v>
      </c>
      <c r="AE44" s="196">
        <f t="shared" si="3"/>
        <v>4362450</v>
      </c>
      <c r="AF44" s="196">
        <f t="shared" si="4"/>
        <v>0</v>
      </c>
      <c r="AG44" s="196">
        <f t="shared" si="5"/>
        <v>0</v>
      </c>
    </row>
    <row r="45" spans="1:33" ht="21.75" customHeight="1" x14ac:dyDescent="0.2">
      <c r="A45" s="175" t="s">
        <v>280</v>
      </c>
      <c r="B45" s="90" t="s">
        <v>542</v>
      </c>
      <c r="C45" s="179"/>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253">
        <f t="shared" si="0"/>
        <v>0</v>
      </c>
      <c r="AC45" s="253">
        <f t="shared" si="1"/>
        <v>0</v>
      </c>
      <c r="AD45" s="253">
        <f t="shared" si="2"/>
        <v>0</v>
      </c>
      <c r="AE45" s="196">
        <f t="shared" si="3"/>
        <v>0</v>
      </c>
      <c r="AF45" s="196">
        <f t="shared" si="4"/>
        <v>0</v>
      </c>
      <c r="AG45" s="196">
        <f t="shared" si="5"/>
        <v>0</v>
      </c>
    </row>
    <row r="46" spans="1:33" ht="21.75" customHeight="1" x14ac:dyDescent="0.2">
      <c r="A46" s="175" t="s">
        <v>281</v>
      </c>
      <c r="B46" s="222" t="s">
        <v>741</v>
      </c>
      <c r="C46" s="179"/>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253">
        <f t="shared" si="0"/>
        <v>0</v>
      </c>
      <c r="AC46" s="253">
        <f t="shared" si="1"/>
        <v>0</v>
      </c>
      <c r="AD46" s="253">
        <f t="shared" si="2"/>
        <v>0</v>
      </c>
      <c r="AE46" s="196">
        <f t="shared" si="3"/>
        <v>0</v>
      </c>
      <c r="AF46" s="196">
        <f t="shared" si="4"/>
        <v>0</v>
      </c>
      <c r="AG46" s="196">
        <f t="shared" si="5"/>
        <v>0</v>
      </c>
    </row>
    <row r="47" spans="1:33" ht="21.75" customHeight="1" x14ac:dyDescent="0.2">
      <c r="A47" s="175" t="s">
        <v>282</v>
      </c>
      <c r="B47" s="178" t="s">
        <v>109</v>
      </c>
      <c r="C47" s="177"/>
      <c r="D47" s="176">
        <f>+D31+D33+D34+D36+D41+D43</f>
        <v>130222562</v>
      </c>
      <c r="E47" s="176">
        <f t="shared" ref="E47:AB47" si="18">+E31+E33+E34+E36+E41+E43</f>
        <v>153625403</v>
      </c>
      <c r="F47" s="176">
        <f t="shared" si="18"/>
        <v>123647921</v>
      </c>
      <c r="G47" s="176">
        <f t="shared" si="18"/>
        <v>5080000</v>
      </c>
      <c r="H47" s="176">
        <f t="shared" si="18"/>
        <v>4224400</v>
      </c>
      <c r="I47" s="176">
        <f t="shared" si="18"/>
        <v>4129400</v>
      </c>
      <c r="J47" s="176">
        <f t="shared" si="18"/>
        <v>5148600</v>
      </c>
      <c r="K47" s="176">
        <f t="shared" si="18"/>
        <v>8771615</v>
      </c>
      <c r="L47" s="176">
        <f t="shared" si="18"/>
        <v>8225415</v>
      </c>
      <c r="M47" s="176">
        <f t="shared" si="18"/>
        <v>0</v>
      </c>
      <c r="N47" s="176">
        <f t="shared" si="18"/>
        <v>0</v>
      </c>
      <c r="O47" s="176">
        <f t="shared" si="18"/>
        <v>0</v>
      </c>
      <c r="P47" s="176">
        <f t="shared" si="18"/>
        <v>144500</v>
      </c>
      <c r="Q47" s="176">
        <f t="shared" si="18"/>
        <v>0</v>
      </c>
      <c r="R47" s="176">
        <f t="shared" si="18"/>
        <v>0</v>
      </c>
      <c r="S47" s="176">
        <f t="shared" si="18"/>
        <v>0</v>
      </c>
      <c r="T47" s="176">
        <f t="shared" si="18"/>
        <v>350000</v>
      </c>
      <c r="U47" s="176">
        <f t="shared" si="18"/>
        <v>350000</v>
      </c>
      <c r="V47" s="176">
        <f>+V31+V33+V34+V36+V41+V43</f>
        <v>0</v>
      </c>
      <c r="W47" s="176">
        <f>+W31+W33+W34+W36+W41+W43</f>
        <v>0</v>
      </c>
      <c r="X47" s="176">
        <f>+X31+X33+X34+X36+X41+X43</f>
        <v>0</v>
      </c>
      <c r="Y47" s="176">
        <f t="shared" si="18"/>
        <v>635000</v>
      </c>
      <c r="Z47" s="176">
        <f t="shared" si="18"/>
        <v>21849</v>
      </c>
      <c r="AA47" s="176">
        <f t="shared" si="18"/>
        <v>17951</v>
      </c>
      <c r="AB47" s="176">
        <f t="shared" si="18"/>
        <v>141230662</v>
      </c>
      <c r="AC47" s="817">
        <f>E47+H47+K47+N47+Q47+Z47+W47+T47</f>
        <v>166993267</v>
      </c>
      <c r="AD47" s="817">
        <f>F47+I47+L47+O47+R47+AA47+U47+X47</f>
        <v>136370687</v>
      </c>
      <c r="AE47" s="196">
        <f t="shared" si="3"/>
        <v>136370687</v>
      </c>
      <c r="AF47" s="196">
        <f t="shared" si="4"/>
        <v>0</v>
      </c>
      <c r="AG47" s="196">
        <f t="shared" si="5"/>
        <v>0</v>
      </c>
    </row>
    <row r="48" spans="1:33" ht="21.75" customHeight="1" x14ac:dyDescent="0.2">
      <c r="A48" s="175" t="s">
        <v>283</v>
      </c>
      <c r="B48" s="178" t="s">
        <v>110</v>
      </c>
      <c r="C48" s="177"/>
      <c r="D48" s="176">
        <f>+D32+D35+D37+D42+D429+D45+D44</f>
        <v>6405817</v>
      </c>
      <c r="E48" s="176">
        <f t="shared" ref="E48:AB48" si="19">+E32+E35+E37+E42+E429+E45+E44</f>
        <v>7510717</v>
      </c>
      <c r="F48" s="176">
        <f t="shared" si="19"/>
        <v>7510717</v>
      </c>
      <c r="G48" s="176">
        <f t="shared" si="19"/>
        <v>0</v>
      </c>
      <c r="H48" s="176">
        <f t="shared" si="19"/>
        <v>0</v>
      </c>
      <c r="I48" s="176">
        <f t="shared" si="19"/>
        <v>0</v>
      </c>
      <c r="J48" s="176">
        <f t="shared" si="19"/>
        <v>0</v>
      </c>
      <c r="K48" s="176">
        <f t="shared" si="19"/>
        <v>0</v>
      </c>
      <c r="L48" s="176">
        <f t="shared" si="19"/>
        <v>0</v>
      </c>
      <c r="M48" s="176">
        <f t="shared" si="19"/>
        <v>0</v>
      </c>
      <c r="N48" s="176">
        <f t="shared" si="19"/>
        <v>0</v>
      </c>
      <c r="O48" s="176">
        <f t="shared" si="19"/>
        <v>0</v>
      </c>
      <c r="P48" s="176">
        <f t="shared" si="19"/>
        <v>0</v>
      </c>
      <c r="Q48" s="176">
        <f t="shared" si="19"/>
        <v>0</v>
      </c>
      <c r="R48" s="176">
        <f t="shared" si="19"/>
        <v>0</v>
      </c>
      <c r="S48" s="176">
        <f t="shared" si="19"/>
        <v>0</v>
      </c>
      <c r="T48" s="176">
        <f t="shared" si="19"/>
        <v>0</v>
      </c>
      <c r="U48" s="176">
        <f t="shared" si="19"/>
        <v>0</v>
      </c>
      <c r="V48" s="176">
        <f>+V32+V35+V37+V42+V429+V45+V44</f>
        <v>0</v>
      </c>
      <c r="W48" s="176">
        <f>+W32+W35+W37+W42+W429+W45+W44</f>
        <v>0</v>
      </c>
      <c r="X48" s="176">
        <f>+X32+X35+X37+X42+X429+X45+X44</f>
        <v>0</v>
      </c>
      <c r="Y48" s="176">
        <f t="shared" si="19"/>
        <v>0</v>
      </c>
      <c r="Z48" s="176">
        <f t="shared" si="19"/>
        <v>0</v>
      </c>
      <c r="AA48" s="176">
        <f t="shared" si="19"/>
        <v>0</v>
      </c>
      <c r="AB48" s="176">
        <f t="shared" si="19"/>
        <v>6405817</v>
      </c>
      <c r="AC48" s="817">
        <f t="shared" si="1"/>
        <v>7510717</v>
      </c>
      <c r="AD48" s="817">
        <f t="shared" si="2"/>
        <v>7510717</v>
      </c>
      <c r="AE48" s="196">
        <f t="shared" si="3"/>
        <v>7510717</v>
      </c>
      <c r="AF48" s="196">
        <f t="shared" si="4"/>
        <v>0</v>
      </c>
      <c r="AG48" s="196">
        <f t="shared" si="5"/>
        <v>0</v>
      </c>
    </row>
    <row r="49" spans="1:33" ht="21.75" customHeight="1" x14ac:dyDescent="0.2">
      <c r="A49" s="175" t="s">
        <v>284</v>
      </c>
      <c r="B49" s="178" t="s">
        <v>329</v>
      </c>
      <c r="C49" s="177"/>
      <c r="D49" s="176">
        <f>+D47+D48</f>
        <v>136628379</v>
      </c>
      <c r="E49" s="176">
        <f t="shared" ref="E49:AB49" si="20">+E47+E48</f>
        <v>161136120</v>
      </c>
      <c r="F49" s="176">
        <f t="shared" si="20"/>
        <v>131158638</v>
      </c>
      <c r="G49" s="176">
        <f t="shared" si="20"/>
        <v>5080000</v>
      </c>
      <c r="H49" s="176">
        <f t="shared" si="20"/>
        <v>4224400</v>
      </c>
      <c r="I49" s="176">
        <f t="shared" si="20"/>
        <v>4129400</v>
      </c>
      <c r="J49" s="176">
        <f t="shared" si="20"/>
        <v>5148600</v>
      </c>
      <c r="K49" s="176">
        <f t="shared" si="20"/>
        <v>8771615</v>
      </c>
      <c r="L49" s="176">
        <f t="shared" si="20"/>
        <v>8225415</v>
      </c>
      <c r="M49" s="176">
        <f t="shared" si="20"/>
        <v>0</v>
      </c>
      <c r="N49" s="176">
        <f t="shared" si="20"/>
        <v>0</v>
      </c>
      <c r="O49" s="176">
        <f t="shared" si="20"/>
        <v>0</v>
      </c>
      <c r="P49" s="176">
        <f t="shared" si="20"/>
        <v>144500</v>
      </c>
      <c r="Q49" s="176">
        <f t="shared" si="20"/>
        <v>0</v>
      </c>
      <c r="R49" s="176">
        <f t="shared" si="20"/>
        <v>0</v>
      </c>
      <c r="S49" s="176">
        <f t="shared" si="20"/>
        <v>0</v>
      </c>
      <c r="T49" s="176">
        <f t="shared" si="20"/>
        <v>350000</v>
      </c>
      <c r="U49" s="176">
        <f t="shared" si="20"/>
        <v>350000</v>
      </c>
      <c r="V49" s="176">
        <f>+V47+V48</f>
        <v>0</v>
      </c>
      <c r="W49" s="176">
        <f>+W47+W48</f>
        <v>0</v>
      </c>
      <c r="X49" s="176">
        <f>+X47+X48</f>
        <v>0</v>
      </c>
      <c r="Y49" s="176">
        <f t="shared" si="20"/>
        <v>635000</v>
      </c>
      <c r="Z49" s="176">
        <f t="shared" si="20"/>
        <v>21849</v>
      </c>
      <c r="AA49" s="176">
        <f t="shared" si="20"/>
        <v>17951</v>
      </c>
      <c r="AB49" s="176">
        <f t="shared" si="20"/>
        <v>147636479</v>
      </c>
      <c r="AC49" s="817">
        <f>E49+H49+K49+N49+Q49+Z49+W49+T49</f>
        <v>174503984</v>
      </c>
      <c r="AD49" s="817">
        <f>F49+I49+L49+O49+R49+AA49+U49+X49</f>
        <v>143881404</v>
      </c>
      <c r="AE49" s="196">
        <f t="shared" si="3"/>
        <v>143881404</v>
      </c>
      <c r="AF49" s="196">
        <f t="shared" si="4"/>
        <v>0</v>
      </c>
      <c r="AG49" s="196">
        <f t="shared" si="5"/>
        <v>0</v>
      </c>
    </row>
    <row r="50" spans="1:33" s="766" customFormat="1" ht="21.75" customHeight="1" x14ac:dyDescent="0.2">
      <c r="A50" s="761" t="s">
        <v>285</v>
      </c>
      <c r="B50" s="787" t="s">
        <v>2075</v>
      </c>
      <c r="C50" s="769"/>
      <c r="D50" s="767"/>
      <c r="E50" s="767"/>
      <c r="F50" s="767"/>
      <c r="G50" s="767">
        <v>1</v>
      </c>
      <c r="H50" s="767">
        <v>4</v>
      </c>
      <c r="I50" s="767">
        <v>3.6</v>
      </c>
      <c r="J50" s="767">
        <v>10</v>
      </c>
      <c r="K50" s="767">
        <v>7</v>
      </c>
      <c r="L50" s="767">
        <v>6.8</v>
      </c>
      <c r="M50" s="767">
        <v>0</v>
      </c>
      <c r="N50" s="767"/>
      <c r="O50" s="767"/>
      <c r="P50" s="767"/>
      <c r="Q50" s="767"/>
      <c r="R50" s="767"/>
      <c r="S50" s="767"/>
      <c r="T50" s="767"/>
      <c r="U50" s="767"/>
      <c r="V50" s="767"/>
      <c r="W50" s="767"/>
      <c r="X50" s="767"/>
      <c r="Y50" s="767">
        <v>0</v>
      </c>
      <c r="Z50" s="767"/>
      <c r="AA50" s="767"/>
      <c r="AB50" s="770">
        <f t="shared" si="0"/>
        <v>11</v>
      </c>
      <c r="AC50" s="770">
        <f t="shared" si="1"/>
        <v>11</v>
      </c>
      <c r="AD50" s="770">
        <f t="shared" si="2"/>
        <v>10.4</v>
      </c>
      <c r="AE50" s="862">
        <f t="shared" si="3"/>
        <v>10.4</v>
      </c>
      <c r="AF50" s="771">
        <f t="shared" si="4"/>
        <v>0</v>
      </c>
      <c r="AG50" s="771">
        <f t="shared" si="5"/>
        <v>0</v>
      </c>
    </row>
    <row r="51" spans="1:33" ht="21.75" customHeight="1" x14ac:dyDescent="0.2">
      <c r="A51" s="175" t="s">
        <v>286</v>
      </c>
      <c r="B51" s="46" t="s">
        <v>964</v>
      </c>
      <c r="C51" s="174"/>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517"/>
      <c r="AD51" s="253">
        <f>F51+I51+L51+O51+R51+AA51</f>
        <v>0</v>
      </c>
      <c r="AE51" s="196">
        <f>+F51+I51+L51+R51+AA51</f>
        <v>0</v>
      </c>
      <c r="AF51" s="196">
        <f t="shared" si="4"/>
        <v>0</v>
      </c>
      <c r="AG51" s="196">
        <f t="shared" si="5"/>
        <v>0</v>
      </c>
    </row>
    <row r="52" spans="1:33" x14ac:dyDescent="0.2">
      <c r="AF52" s="196">
        <f t="shared" si="4"/>
        <v>0</v>
      </c>
      <c r="AG52" s="196">
        <f t="shared" si="5"/>
        <v>0</v>
      </c>
    </row>
  </sheetData>
  <mergeCells count="35">
    <mergeCell ref="V2:AA2"/>
    <mergeCell ref="AB2:AD2"/>
    <mergeCell ref="P2:U2"/>
    <mergeCell ref="AB4:AD7"/>
    <mergeCell ref="D2:I2"/>
    <mergeCell ref="J2:O2"/>
    <mergeCell ref="D4:F4"/>
    <mergeCell ref="G4:I4"/>
    <mergeCell ref="J4:L4"/>
    <mergeCell ref="M4:O4"/>
    <mergeCell ref="P4:R4"/>
    <mergeCell ref="Y4:AA4"/>
    <mergeCell ref="D5:F5"/>
    <mergeCell ref="G5:I5"/>
    <mergeCell ref="J5:L5"/>
    <mergeCell ref="M5:O5"/>
    <mergeCell ref="P5:R5"/>
    <mergeCell ref="A3:C3"/>
    <mergeCell ref="B5:C5"/>
    <mergeCell ref="B6:C6"/>
    <mergeCell ref="A4:A7"/>
    <mergeCell ref="B4:C4"/>
    <mergeCell ref="D6:F7"/>
    <mergeCell ref="G6:I7"/>
    <mergeCell ref="J6:L7"/>
    <mergeCell ref="M6:O7"/>
    <mergeCell ref="P6:R7"/>
    <mergeCell ref="S4:U4"/>
    <mergeCell ref="S5:U5"/>
    <mergeCell ref="S6:U7"/>
    <mergeCell ref="Y5:AA5"/>
    <mergeCell ref="Y6:AA7"/>
    <mergeCell ref="V4:X4"/>
    <mergeCell ref="V6:X7"/>
    <mergeCell ref="V5:X5"/>
  </mergeCells>
  <printOptions horizontalCentered="1" verticalCentered="1"/>
  <pageMargins left="0.31496062992125984" right="0.31496062992125984" top="0.15748031496062992" bottom="0.15748031496062992" header="0.31496062992125984" footer="0.31496062992125984"/>
  <pageSetup paperSize="9" scale="42" orientation="portrait" r:id="rId1"/>
  <headerFooter>
    <oddHeader>&amp;C2022. évi zárszámadás
&amp;R&amp;A</oddHeader>
    <oddFooter>&amp;C&amp;P/&amp;N</oddFooter>
  </headerFooter>
  <colBreaks count="4" manualBreakCount="4">
    <brk id="9" max="50" man="1"/>
    <brk id="15" max="50" man="1"/>
    <brk id="21" max="50" man="1"/>
    <brk id="27" max="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sheetPr>
  <dimension ref="A1:AB51"/>
  <sheetViews>
    <sheetView view="pageBreakPreview" zoomScale="80" zoomScaleNormal="60" zoomScaleSheetLayoutView="80" workbookViewId="0">
      <pane xSplit="3" ySplit="8" topLeftCell="O45" activePane="bottomRight" state="frozen"/>
      <selection activeCell="Y17" sqref="Y17"/>
      <selection pane="topRight" activeCell="Y17" sqref="Y17"/>
      <selection pane="bottomLeft" activeCell="Y17" sqref="Y17"/>
      <selection pane="bottomRight" activeCell="AC50" sqref="AC50"/>
    </sheetView>
  </sheetViews>
  <sheetFormatPr defaultRowHeight="12.75" x14ac:dyDescent="0.2"/>
  <cols>
    <col min="1" max="1" width="6.5703125" customWidth="1"/>
    <col min="2" max="2" width="70.5703125" bestFit="1" customWidth="1"/>
    <col min="4" max="4" width="19.7109375" bestFit="1" customWidth="1"/>
    <col min="5" max="5" width="23.42578125" bestFit="1" customWidth="1"/>
    <col min="6" max="6" width="18.42578125" bestFit="1" customWidth="1"/>
    <col min="7" max="8" width="17.85546875" customWidth="1"/>
    <col min="9" max="9" width="18.42578125" bestFit="1" customWidth="1"/>
    <col min="10" max="10" width="19.7109375" bestFit="1" customWidth="1"/>
    <col min="11" max="11" width="23.42578125" bestFit="1" customWidth="1"/>
    <col min="12" max="12" width="17.28515625" bestFit="1" customWidth="1"/>
    <col min="13" max="13" width="16.7109375" customWidth="1"/>
    <col min="14" max="14" width="17.5703125" customWidth="1"/>
    <col min="15" max="15" width="16.28515625" customWidth="1"/>
    <col min="16" max="16" width="16.7109375" customWidth="1"/>
    <col min="17" max="17" width="16.85546875" customWidth="1"/>
    <col min="18" max="18" width="17" customWidth="1"/>
    <col min="19" max="19" width="16.7109375" customWidth="1"/>
    <col min="20" max="20" width="16.140625" customWidth="1"/>
    <col min="21" max="21" width="18.140625" customWidth="1"/>
    <col min="22" max="22" width="16.140625" customWidth="1"/>
    <col min="23" max="23" width="17.7109375" customWidth="1"/>
    <col min="24" max="24" width="16.5703125" customWidth="1"/>
    <col min="25" max="25" width="19.7109375" bestFit="1" customWidth="1"/>
    <col min="26" max="26" width="23.42578125" bestFit="1" customWidth="1"/>
    <col min="27" max="27" width="18.42578125" bestFit="1" customWidth="1"/>
  </cols>
  <sheetData>
    <row r="1" spans="1:28" ht="15.75" x14ac:dyDescent="0.2">
      <c r="A1" s="552"/>
      <c r="B1" s="552"/>
      <c r="C1" s="552"/>
      <c r="D1" s="552"/>
      <c r="E1" s="552"/>
      <c r="F1" s="552"/>
      <c r="G1" s="552"/>
      <c r="I1" s="746" t="s">
        <v>415</v>
      </c>
      <c r="J1" s="552"/>
      <c r="K1" s="552"/>
      <c r="L1" s="552"/>
      <c r="M1" s="552"/>
      <c r="O1" s="746" t="s">
        <v>415</v>
      </c>
      <c r="P1" s="552"/>
      <c r="Q1" s="552"/>
      <c r="R1" s="552"/>
      <c r="S1" s="552"/>
      <c r="U1" s="746" t="s">
        <v>415</v>
      </c>
      <c r="V1" s="552"/>
      <c r="W1" s="552"/>
      <c r="X1" s="552"/>
      <c r="Y1" s="552"/>
      <c r="AA1" s="746" t="s">
        <v>415</v>
      </c>
    </row>
    <row r="2" spans="1:28" ht="39.75" customHeight="1" x14ac:dyDescent="0.2">
      <c r="A2" s="378"/>
      <c r="B2" s="379"/>
      <c r="C2" s="380"/>
      <c r="D2" s="1093" t="s">
        <v>2073</v>
      </c>
      <c r="E2" s="1094"/>
      <c r="F2" s="1094"/>
      <c r="G2" s="1094"/>
      <c r="H2" s="1094"/>
      <c r="I2" s="1095"/>
      <c r="J2" s="1093" t="s">
        <v>2073</v>
      </c>
      <c r="K2" s="1094"/>
      <c r="L2" s="1094"/>
      <c r="M2" s="1094"/>
      <c r="N2" s="1094"/>
      <c r="O2" s="1095"/>
      <c r="P2" s="1093" t="s">
        <v>2073</v>
      </c>
      <c r="Q2" s="1094"/>
      <c r="R2" s="1094"/>
      <c r="S2" s="1094"/>
      <c r="T2" s="1094"/>
      <c r="U2" s="1095"/>
      <c r="V2" s="1093" t="s">
        <v>2073</v>
      </c>
      <c r="W2" s="1094"/>
      <c r="X2" s="1094"/>
      <c r="Y2" s="1094"/>
      <c r="Z2" s="1094"/>
      <c r="AA2" s="1095"/>
    </row>
    <row r="3" spans="1:28" ht="40.5" customHeight="1" x14ac:dyDescent="0.2">
      <c r="A3" s="1075" t="s">
        <v>133</v>
      </c>
      <c r="B3" s="1076"/>
      <c r="C3" s="1077"/>
      <c r="D3" s="644" t="s">
        <v>274</v>
      </c>
      <c r="E3" s="644" t="s">
        <v>1074</v>
      </c>
      <c r="F3" s="644" t="s">
        <v>1546</v>
      </c>
      <c r="G3" s="644" t="s">
        <v>274</v>
      </c>
      <c r="H3" s="644" t="s">
        <v>1074</v>
      </c>
      <c r="I3" s="644" t="s">
        <v>1546</v>
      </c>
      <c r="J3" s="644" t="s">
        <v>274</v>
      </c>
      <c r="K3" s="644" t="s">
        <v>1074</v>
      </c>
      <c r="L3" s="644" t="s">
        <v>1546</v>
      </c>
      <c r="M3" s="644" t="s">
        <v>274</v>
      </c>
      <c r="N3" s="644" t="s">
        <v>1074</v>
      </c>
      <c r="O3" s="644" t="s">
        <v>1546</v>
      </c>
      <c r="P3" s="644" t="s">
        <v>274</v>
      </c>
      <c r="Q3" s="644" t="s">
        <v>1074</v>
      </c>
      <c r="R3" s="644" t="s">
        <v>1546</v>
      </c>
      <c r="S3" s="644" t="s">
        <v>274</v>
      </c>
      <c r="T3" s="644" t="s">
        <v>1074</v>
      </c>
      <c r="U3" s="644" t="s">
        <v>1546</v>
      </c>
      <c r="V3" s="644" t="s">
        <v>274</v>
      </c>
      <c r="W3" s="644" t="s">
        <v>1074</v>
      </c>
      <c r="X3" s="644" t="s">
        <v>1546</v>
      </c>
      <c r="Y3" s="644" t="s">
        <v>274</v>
      </c>
      <c r="Z3" s="644" t="s">
        <v>1074</v>
      </c>
      <c r="AA3" s="644" t="s">
        <v>1546</v>
      </c>
    </row>
    <row r="4" spans="1:28" ht="124.5" customHeight="1" x14ac:dyDescent="0.2">
      <c r="A4" s="1079" t="s">
        <v>189</v>
      </c>
      <c r="B4" s="1078" t="s">
        <v>247</v>
      </c>
      <c r="C4" s="1078"/>
      <c r="D4" s="1063" t="s">
        <v>1744</v>
      </c>
      <c r="E4" s="1064"/>
      <c r="F4" s="1065"/>
      <c r="G4" s="1063" t="s">
        <v>1967</v>
      </c>
      <c r="H4" s="1064" t="s">
        <v>459</v>
      </c>
      <c r="I4" s="1065"/>
      <c r="J4" s="1063" t="s">
        <v>1973</v>
      </c>
      <c r="K4" s="1064" t="s">
        <v>459</v>
      </c>
      <c r="L4" s="1065"/>
      <c r="M4" s="1063" t="s">
        <v>2040</v>
      </c>
      <c r="N4" s="1064" t="s">
        <v>337</v>
      </c>
      <c r="O4" s="1065"/>
      <c r="P4" s="1063" t="s">
        <v>1967</v>
      </c>
      <c r="Q4" s="1064" t="s">
        <v>336</v>
      </c>
      <c r="R4" s="1065"/>
      <c r="S4" s="1063" t="s">
        <v>1973</v>
      </c>
      <c r="T4" s="1064" t="s">
        <v>336</v>
      </c>
      <c r="U4" s="1065"/>
      <c r="V4" s="1063" t="s">
        <v>1973</v>
      </c>
      <c r="W4" s="1064" t="s">
        <v>336</v>
      </c>
      <c r="X4" s="1065"/>
      <c r="Y4" s="1072" t="s">
        <v>135</v>
      </c>
      <c r="Z4" s="1073"/>
      <c r="AA4" s="1074"/>
    </row>
    <row r="5" spans="1:28" ht="27" customHeight="1" x14ac:dyDescent="0.2">
      <c r="A5" s="1079"/>
      <c r="B5" s="1078" t="s">
        <v>11</v>
      </c>
      <c r="C5" s="1078"/>
      <c r="D5" s="1063" t="s">
        <v>225</v>
      </c>
      <c r="E5" s="1064"/>
      <c r="F5" s="1065"/>
      <c r="G5" s="1063" t="s">
        <v>225</v>
      </c>
      <c r="H5" s="1064" t="s">
        <v>225</v>
      </c>
      <c r="I5" s="1065"/>
      <c r="J5" s="1063" t="s">
        <v>225</v>
      </c>
      <c r="K5" s="1064" t="s">
        <v>225</v>
      </c>
      <c r="L5" s="1065"/>
      <c r="M5" s="1063" t="s">
        <v>225</v>
      </c>
      <c r="N5" s="1064" t="s">
        <v>225</v>
      </c>
      <c r="O5" s="1065"/>
      <c r="P5" s="1063" t="s">
        <v>225</v>
      </c>
      <c r="Q5" s="1064" t="s">
        <v>225</v>
      </c>
      <c r="R5" s="1065"/>
      <c r="S5" s="1063" t="s">
        <v>225</v>
      </c>
      <c r="T5" s="1064" t="s">
        <v>225</v>
      </c>
      <c r="U5" s="1065"/>
      <c r="V5" s="1063" t="s">
        <v>225</v>
      </c>
      <c r="W5" s="1064" t="s">
        <v>225</v>
      </c>
      <c r="X5" s="1065"/>
      <c r="Y5" s="1083"/>
      <c r="Z5" s="1084"/>
      <c r="AA5" s="1085"/>
    </row>
    <row r="6" spans="1:28" ht="23.25" customHeight="1" x14ac:dyDescent="0.2">
      <c r="A6" s="1079"/>
      <c r="B6" s="992" t="s">
        <v>646</v>
      </c>
      <c r="C6" s="992"/>
      <c r="D6" s="1066" t="s">
        <v>1991</v>
      </c>
      <c r="E6" s="1067"/>
      <c r="F6" s="1068"/>
      <c r="G6" s="1066" t="s">
        <v>2041</v>
      </c>
      <c r="H6" s="1067" t="s">
        <v>547</v>
      </c>
      <c r="I6" s="1068"/>
      <c r="J6" s="1066" t="s">
        <v>2042</v>
      </c>
      <c r="K6" s="1067" t="s">
        <v>1173</v>
      </c>
      <c r="L6" s="1068"/>
      <c r="M6" s="1066" t="s">
        <v>2043</v>
      </c>
      <c r="N6" s="1067" t="s">
        <v>598</v>
      </c>
      <c r="O6" s="1068"/>
      <c r="P6" s="1066" t="s">
        <v>2044</v>
      </c>
      <c r="Q6" s="1067" t="s">
        <v>1174</v>
      </c>
      <c r="R6" s="1068"/>
      <c r="S6" s="1066" t="s">
        <v>2045</v>
      </c>
      <c r="T6" s="1067" t="s">
        <v>1175</v>
      </c>
      <c r="U6" s="1068"/>
      <c r="V6" s="1066" t="s">
        <v>2046</v>
      </c>
      <c r="W6" s="1067" t="s">
        <v>475</v>
      </c>
      <c r="X6" s="1068"/>
      <c r="Y6" s="1083"/>
      <c r="Z6" s="1084"/>
      <c r="AA6" s="1085"/>
    </row>
    <row r="7" spans="1:28" ht="111.75" customHeight="1" x14ac:dyDescent="0.2">
      <c r="A7" s="1079"/>
      <c r="B7" s="685" t="s">
        <v>190</v>
      </c>
      <c r="C7" s="188" t="s">
        <v>248</v>
      </c>
      <c r="D7" s="1069"/>
      <c r="E7" s="1070"/>
      <c r="F7" s="1071"/>
      <c r="G7" s="1069"/>
      <c r="H7" s="1070"/>
      <c r="I7" s="1071"/>
      <c r="J7" s="1069"/>
      <c r="K7" s="1070"/>
      <c r="L7" s="1071"/>
      <c r="M7" s="1069"/>
      <c r="N7" s="1070"/>
      <c r="O7" s="1071"/>
      <c r="P7" s="1069"/>
      <c r="Q7" s="1070"/>
      <c r="R7" s="1071"/>
      <c r="S7" s="1069"/>
      <c r="T7" s="1070"/>
      <c r="U7" s="1071"/>
      <c r="V7" s="1069"/>
      <c r="W7" s="1070"/>
      <c r="X7" s="1071"/>
      <c r="Y7" s="1083"/>
      <c r="Z7" s="1084"/>
      <c r="AA7" s="1085"/>
    </row>
    <row r="8" spans="1:28" ht="15.75" x14ac:dyDescent="0.2">
      <c r="A8" s="187" t="s">
        <v>191</v>
      </c>
      <c r="B8" s="186" t="s">
        <v>192</v>
      </c>
      <c r="C8" s="186" t="s">
        <v>193</v>
      </c>
      <c r="D8" s="287" t="s">
        <v>194</v>
      </c>
      <c r="E8" s="186" t="s">
        <v>195</v>
      </c>
      <c r="F8" s="287" t="s">
        <v>196</v>
      </c>
      <c r="G8" s="186" t="s">
        <v>197</v>
      </c>
      <c r="H8" s="287" t="s">
        <v>198</v>
      </c>
      <c r="I8" s="186" t="s">
        <v>199</v>
      </c>
      <c r="J8" s="287" t="s">
        <v>200</v>
      </c>
      <c r="K8" s="186" t="s">
        <v>201</v>
      </c>
      <c r="L8" s="287" t="s">
        <v>228</v>
      </c>
      <c r="M8" s="186" t="s">
        <v>229</v>
      </c>
      <c r="N8" s="287" t="s">
        <v>230</v>
      </c>
      <c r="O8" s="186" t="s">
        <v>231</v>
      </c>
      <c r="P8" s="287" t="s">
        <v>232</v>
      </c>
      <c r="Q8" s="186" t="s">
        <v>233</v>
      </c>
      <c r="R8" s="287" t="s">
        <v>234</v>
      </c>
      <c r="S8" s="186" t="s">
        <v>235</v>
      </c>
      <c r="T8" s="287" t="s">
        <v>236</v>
      </c>
      <c r="U8" s="186" t="s">
        <v>261</v>
      </c>
      <c r="V8" s="287" t="s">
        <v>262</v>
      </c>
      <c r="W8" s="186" t="s">
        <v>263</v>
      </c>
      <c r="X8" s="287" t="s">
        <v>264</v>
      </c>
      <c r="Y8" s="186" t="s">
        <v>265</v>
      </c>
      <c r="Z8" s="287" t="s">
        <v>266</v>
      </c>
      <c r="AA8" s="186" t="s">
        <v>267</v>
      </c>
    </row>
    <row r="9" spans="1:28" ht="21.75" customHeight="1" x14ac:dyDescent="0.25">
      <c r="A9" s="175" t="s">
        <v>191</v>
      </c>
      <c r="B9" s="185" t="s">
        <v>330</v>
      </c>
      <c r="C9" s="192" t="s">
        <v>202</v>
      </c>
      <c r="D9" s="189"/>
      <c r="E9" s="189"/>
      <c r="F9" s="189"/>
      <c r="G9" s="189">
        <v>163941889</v>
      </c>
      <c r="H9" s="189">
        <v>168071126</v>
      </c>
      <c r="I9" s="189">
        <v>153060450</v>
      </c>
      <c r="J9" s="189">
        <v>87780956</v>
      </c>
      <c r="K9" s="189">
        <f>87780956-858900+858900+1200000-1521000+1521000-1346000+1346000</f>
        <v>88980956</v>
      </c>
      <c r="L9" s="189">
        <v>68149228</v>
      </c>
      <c r="M9" s="189"/>
      <c r="N9" s="189"/>
      <c r="O9" s="189"/>
      <c r="P9" s="189"/>
      <c r="Q9" s="189"/>
      <c r="R9" s="189"/>
      <c r="S9" s="189"/>
      <c r="T9" s="189"/>
      <c r="U9" s="189"/>
      <c r="V9" s="189"/>
      <c r="W9" s="189"/>
      <c r="X9" s="189"/>
      <c r="Y9" s="189">
        <f t="shared" ref="Y9:Y51" si="0">D9+G9+J9+M9+V9+P9+S9</f>
        <v>251722845</v>
      </c>
      <c r="Z9" s="189">
        <f t="shared" ref="Z9:AA51" si="1">E9+H9+K9+N9+W9+Q9+T9</f>
        <v>257052082</v>
      </c>
      <c r="AA9" s="189">
        <f t="shared" si="1"/>
        <v>221209678</v>
      </c>
      <c r="AB9" s="196"/>
    </row>
    <row r="10" spans="1:28" ht="21.75" customHeight="1" x14ac:dyDescent="0.25">
      <c r="A10" s="175" t="s">
        <v>192</v>
      </c>
      <c r="B10" s="183" t="s">
        <v>203</v>
      </c>
      <c r="C10" s="192" t="s">
        <v>204</v>
      </c>
      <c r="D10" s="189"/>
      <c r="E10" s="189"/>
      <c r="F10" s="189"/>
      <c r="G10" s="189">
        <f>22537446+4330000</f>
        <v>26867446</v>
      </c>
      <c r="H10" s="189">
        <f>22537446+4330000+48750+403000</f>
        <v>27319196</v>
      </c>
      <c r="I10" s="189">
        <v>21306280</v>
      </c>
      <c r="J10" s="189">
        <v>12076524</v>
      </c>
      <c r="K10" s="189">
        <f>12076524+156000</f>
        <v>12232524</v>
      </c>
      <c r="L10" s="189">
        <v>8469368</v>
      </c>
      <c r="M10" s="189"/>
      <c r="N10" s="189"/>
      <c r="O10" s="189"/>
      <c r="P10" s="189"/>
      <c r="Q10" s="189"/>
      <c r="R10" s="189"/>
      <c r="S10" s="189"/>
      <c r="T10" s="189"/>
      <c r="U10" s="189"/>
      <c r="V10" s="189"/>
      <c r="W10" s="189"/>
      <c r="X10" s="189"/>
      <c r="Y10" s="189">
        <f t="shared" si="0"/>
        <v>38943970</v>
      </c>
      <c r="Z10" s="189">
        <f t="shared" si="1"/>
        <v>39551720</v>
      </c>
      <c r="AA10" s="189">
        <f t="shared" si="1"/>
        <v>29775648</v>
      </c>
      <c r="AB10" s="196"/>
    </row>
    <row r="11" spans="1:28" ht="21.75" customHeight="1" x14ac:dyDescent="0.25">
      <c r="A11" s="175" t="s">
        <v>193</v>
      </c>
      <c r="B11" s="183" t="s">
        <v>331</v>
      </c>
      <c r="C11" s="192" t="s">
        <v>205</v>
      </c>
      <c r="D11" s="189"/>
      <c r="E11" s="189"/>
      <c r="F11" s="189"/>
      <c r="G11" s="189">
        <f>+(18495480)+11430+148056</f>
        <v>18654966</v>
      </c>
      <c r="H11" s="189">
        <v>24731144</v>
      </c>
      <c r="I11" s="189">
        <v>18763094</v>
      </c>
      <c r="J11" s="189">
        <f>+(10398429)+11430+97101</f>
        <v>10506960</v>
      </c>
      <c r="K11" s="189">
        <v>14800597</v>
      </c>
      <c r="L11" s="189">
        <v>10332472</v>
      </c>
      <c r="M11" s="189">
        <v>635000</v>
      </c>
      <c r="N11" s="189">
        <f>635000-70398+70398</f>
        <v>635000</v>
      </c>
      <c r="O11" s="189">
        <v>597406</v>
      </c>
      <c r="P11" s="189"/>
      <c r="Q11" s="189">
        <v>500000</v>
      </c>
      <c r="R11" s="189">
        <v>359880</v>
      </c>
      <c r="S11" s="189"/>
      <c r="T11" s="189"/>
      <c r="U11" s="189"/>
      <c r="V11" s="189"/>
      <c r="W11" s="189"/>
      <c r="X11" s="189"/>
      <c r="Y11" s="189">
        <f t="shared" si="0"/>
        <v>29796926</v>
      </c>
      <c r="Z11" s="189">
        <f t="shared" si="1"/>
        <v>40666741</v>
      </c>
      <c r="AA11" s="189">
        <f t="shared" si="1"/>
        <v>30052852</v>
      </c>
      <c r="AB11" s="196"/>
    </row>
    <row r="12" spans="1:28" ht="21.75" customHeight="1" x14ac:dyDescent="0.25">
      <c r="A12" s="175" t="s">
        <v>194</v>
      </c>
      <c r="B12" s="182" t="s">
        <v>332</v>
      </c>
      <c r="C12" s="192" t="s">
        <v>206</v>
      </c>
      <c r="D12" s="189"/>
      <c r="E12" s="189"/>
      <c r="F12" s="189"/>
      <c r="G12" s="189"/>
      <c r="H12" s="189"/>
      <c r="I12" s="189"/>
      <c r="J12" s="189"/>
      <c r="K12" s="189"/>
      <c r="L12" s="189"/>
      <c r="M12" s="189"/>
      <c r="N12" s="189"/>
      <c r="O12" s="189"/>
      <c r="P12" s="189"/>
      <c r="Q12" s="189"/>
      <c r="R12" s="189"/>
      <c r="S12" s="189"/>
      <c r="T12" s="189"/>
      <c r="U12" s="189"/>
      <c r="V12" s="189"/>
      <c r="W12" s="189"/>
      <c r="X12" s="189"/>
      <c r="Y12" s="189">
        <f t="shared" si="0"/>
        <v>0</v>
      </c>
      <c r="Z12" s="189">
        <f t="shared" si="1"/>
        <v>0</v>
      </c>
      <c r="AA12" s="189">
        <f t="shared" si="1"/>
        <v>0</v>
      </c>
    </row>
    <row r="13" spans="1:28" ht="21.75" customHeight="1" x14ac:dyDescent="0.25">
      <c r="A13" s="175" t="s">
        <v>195</v>
      </c>
      <c r="B13" s="182" t="s">
        <v>237</v>
      </c>
      <c r="C13" s="192" t="s">
        <v>207</v>
      </c>
      <c r="D13" s="189">
        <f t="shared" ref="D13:AA13" si="2">SUM(D14:D16)</f>
        <v>0</v>
      </c>
      <c r="E13" s="189">
        <f t="shared" si="2"/>
        <v>5378111</v>
      </c>
      <c r="F13" s="189">
        <f t="shared" si="2"/>
        <v>5378111</v>
      </c>
      <c r="G13" s="189">
        <f t="shared" si="2"/>
        <v>0</v>
      </c>
      <c r="H13" s="189">
        <f t="shared" si="2"/>
        <v>0</v>
      </c>
      <c r="I13" s="189">
        <f t="shared" si="2"/>
        <v>0</v>
      </c>
      <c r="J13" s="189">
        <f t="shared" si="2"/>
        <v>0</v>
      </c>
      <c r="K13" s="189">
        <f t="shared" si="2"/>
        <v>0</v>
      </c>
      <c r="L13" s="189">
        <f t="shared" si="2"/>
        <v>0</v>
      </c>
      <c r="M13" s="189">
        <f t="shared" si="2"/>
        <v>0</v>
      </c>
      <c r="N13" s="189">
        <f t="shared" si="2"/>
        <v>0</v>
      </c>
      <c r="O13" s="189">
        <f t="shared" si="2"/>
        <v>0</v>
      </c>
      <c r="P13" s="189">
        <f t="shared" si="2"/>
        <v>0</v>
      </c>
      <c r="Q13" s="189">
        <f t="shared" si="2"/>
        <v>0</v>
      </c>
      <c r="R13" s="189">
        <f t="shared" si="2"/>
        <v>0</v>
      </c>
      <c r="S13" s="189">
        <f t="shared" si="2"/>
        <v>0</v>
      </c>
      <c r="T13" s="189">
        <f t="shared" si="2"/>
        <v>0</v>
      </c>
      <c r="U13" s="189">
        <f t="shared" si="2"/>
        <v>0</v>
      </c>
      <c r="V13" s="189">
        <f t="shared" si="2"/>
        <v>0</v>
      </c>
      <c r="W13" s="189">
        <f t="shared" si="2"/>
        <v>0</v>
      </c>
      <c r="X13" s="189">
        <f t="shared" si="2"/>
        <v>0</v>
      </c>
      <c r="Y13" s="189">
        <f t="shared" si="2"/>
        <v>0</v>
      </c>
      <c r="Z13" s="189">
        <f t="shared" si="2"/>
        <v>5378111</v>
      </c>
      <c r="AA13" s="189">
        <f t="shared" si="2"/>
        <v>5378111</v>
      </c>
    </row>
    <row r="14" spans="1:28" ht="21.75" customHeight="1" x14ac:dyDescent="0.25">
      <c r="A14" s="175" t="s">
        <v>196</v>
      </c>
      <c r="B14" s="184" t="s">
        <v>122</v>
      </c>
      <c r="C14" s="192"/>
      <c r="D14" s="189"/>
      <c r="E14" s="189"/>
      <c r="F14" s="189"/>
      <c r="G14" s="189"/>
      <c r="H14" s="189"/>
      <c r="I14" s="189"/>
      <c r="J14" s="189"/>
      <c r="K14" s="189"/>
      <c r="L14" s="189"/>
      <c r="M14" s="189"/>
      <c r="N14" s="189"/>
      <c r="O14" s="189"/>
      <c r="P14" s="189"/>
      <c r="Q14" s="189"/>
      <c r="R14" s="189"/>
      <c r="S14" s="189"/>
      <c r="T14" s="189"/>
      <c r="U14" s="189"/>
      <c r="V14" s="189"/>
      <c r="W14" s="189"/>
      <c r="X14" s="189"/>
      <c r="Y14" s="189">
        <f t="shared" si="0"/>
        <v>0</v>
      </c>
      <c r="Z14" s="189">
        <f t="shared" si="1"/>
        <v>0</v>
      </c>
      <c r="AA14" s="189">
        <f t="shared" si="1"/>
        <v>0</v>
      </c>
    </row>
    <row r="15" spans="1:28" ht="21.75" customHeight="1" x14ac:dyDescent="0.25">
      <c r="A15" s="175" t="s">
        <v>197</v>
      </c>
      <c r="B15" s="184" t="s">
        <v>112</v>
      </c>
      <c r="C15" s="193"/>
      <c r="D15" s="189"/>
      <c r="E15" s="189"/>
      <c r="F15" s="189"/>
      <c r="G15" s="189"/>
      <c r="H15" s="189"/>
      <c r="I15" s="189"/>
      <c r="J15" s="189"/>
      <c r="K15" s="189"/>
      <c r="L15" s="189"/>
      <c r="M15" s="189"/>
      <c r="N15" s="189"/>
      <c r="O15" s="189"/>
      <c r="P15" s="189"/>
      <c r="Q15" s="189"/>
      <c r="R15" s="189"/>
      <c r="S15" s="189"/>
      <c r="T15" s="189"/>
      <c r="U15" s="189"/>
      <c r="V15" s="189"/>
      <c r="W15" s="189"/>
      <c r="X15" s="189"/>
      <c r="Y15" s="189">
        <f t="shared" si="0"/>
        <v>0</v>
      </c>
      <c r="Z15" s="189">
        <f t="shared" si="1"/>
        <v>0</v>
      </c>
      <c r="AA15" s="189">
        <f t="shared" si="1"/>
        <v>0</v>
      </c>
    </row>
    <row r="16" spans="1:28" ht="21.75" customHeight="1" x14ac:dyDescent="0.25">
      <c r="A16" s="175" t="s">
        <v>198</v>
      </c>
      <c r="B16" s="88" t="s">
        <v>517</v>
      </c>
      <c r="C16" s="193"/>
      <c r="D16" s="189"/>
      <c r="E16" s="189">
        <v>5378111</v>
      </c>
      <c r="F16" s="189">
        <v>5378111</v>
      </c>
      <c r="G16" s="189"/>
      <c r="H16" s="189"/>
      <c r="I16" s="189"/>
      <c r="J16" s="189"/>
      <c r="K16" s="189"/>
      <c r="L16" s="189"/>
      <c r="M16" s="189"/>
      <c r="N16" s="189"/>
      <c r="O16" s="189"/>
      <c r="P16" s="189"/>
      <c r="Q16" s="189"/>
      <c r="R16" s="189"/>
      <c r="S16" s="189"/>
      <c r="T16" s="189"/>
      <c r="U16" s="189"/>
      <c r="V16" s="189"/>
      <c r="W16" s="189"/>
      <c r="X16" s="189"/>
      <c r="Y16" s="189">
        <f t="shared" si="0"/>
        <v>0</v>
      </c>
      <c r="Z16" s="189">
        <f t="shared" si="1"/>
        <v>5378111</v>
      </c>
      <c r="AA16" s="189">
        <f t="shared" si="1"/>
        <v>5378111</v>
      </c>
    </row>
    <row r="17" spans="1:27" ht="21.75" customHeight="1" x14ac:dyDescent="0.25">
      <c r="A17" s="175" t="s">
        <v>199</v>
      </c>
      <c r="B17" s="181" t="s">
        <v>244</v>
      </c>
      <c r="C17" s="192" t="s">
        <v>208</v>
      </c>
      <c r="D17" s="189"/>
      <c r="E17" s="189"/>
      <c r="F17" s="189"/>
      <c r="G17" s="189">
        <v>604520</v>
      </c>
      <c r="H17" s="189">
        <v>2895772</v>
      </c>
      <c r="I17" s="189">
        <v>2832772</v>
      </c>
      <c r="J17" s="189">
        <v>381000</v>
      </c>
      <c r="K17" s="189">
        <v>388290</v>
      </c>
      <c r="L17" s="189">
        <v>186600</v>
      </c>
      <c r="M17" s="189"/>
      <c r="N17" s="189"/>
      <c r="O17" s="189"/>
      <c r="P17" s="189"/>
      <c r="Q17" s="189"/>
      <c r="R17" s="189"/>
      <c r="S17" s="189"/>
      <c r="T17" s="189"/>
      <c r="U17" s="189"/>
      <c r="V17" s="189"/>
      <c r="W17" s="189"/>
      <c r="X17" s="189"/>
      <c r="Y17" s="189">
        <f t="shared" si="0"/>
        <v>985520</v>
      </c>
      <c r="Z17" s="189">
        <f t="shared" si="1"/>
        <v>3284062</v>
      </c>
      <c r="AA17" s="189">
        <f t="shared" si="1"/>
        <v>3019372</v>
      </c>
    </row>
    <row r="18" spans="1:27" ht="21.75" customHeight="1" x14ac:dyDescent="0.25">
      <c r="A18" s="175" t="s">
        <v>200</v>
      </c>
      <c r="B18" s="182" t="s">
        <v>333</v>
      </c>
      <c r="C18" s="192" t="s">
        <v>209</v>
      </c>
      <c r="D18" s="189"/>
      <c r="E18" s="189"/>
      <c r="F18" s="189"/>
      <c r="G18" s="189"/>
      <c r="H18" s="189"/>
      <c r="I18" s="189"/>
      <c r="J18" s="189"/>
      <c r="K18" s="189"/>
      <c r="L18" s="189"/>
      <c r="M18" s="189"/>
      <c r="N18" s="189"/>
      <c r="O18" s="189"/>
      <c r="P18" s="189"/>
      <c r="Q18" s="189"/>
      <c r="R18" s="189"/>
      <c r="S18" s="189"/>
      <c r="T18" s="189"/>
      <c r="U18" s="189"/>
      <c r="V18" s="189"/>
      <c r="W18" s="189"/>
      <c r="X18" s="189"/>
      <c r="Y18" s="189">
        <f t="shared" si="0"/>
        <v>0</v>
      </c>
      <c r="Z18" s="189">
        <f t="shared" si="1"/>
        <v>0</v>
      </c>
      <c r="AA18" s="189">
        <f t="shared" si="1"/>
        <v>0</v>
      </c>
    </row>
    <row r="19" spans="1:27" ht="21.75" customHeight="1" x14ac:dyDescent="0.25">
      <c r="A19" s="175" t="s">
        <v>201</v>
      </c>
      <c r="B19" s="182" t="s">
        <v>238</v>
      </c>
      <c r="C19" s="192" t="s">
        <v>210</v>
      </c>
      <c r="D19" s="189"/>
      <c r="E19" s="189"/>
      <c r="F19" s="189"/>
      <c r="G19" s="189"/>
      <c r="H19" s="189"/>
      <c r="I19" s="189"/>
      <c r="J19" s="189"/>
      <c r="K19" s="189"/>
      <c r="L19" s="189"/>
      <c r="M19" s="189"/>
      <c r="N19" s="189"/>
      <c r="O19" s="189"/>
      <c r="P19" s="189"/>
      <c r="Q19" s="189"/>
      <c r="R19" s="189"/>
      <c r="S19" s="189"/>
      <c r="T19" s="189"/>
      <c r="U19" s="189"/>
      <c r="V19" s="189"/>
      <c r="W19" s="189"/>
      <c r="X19" s="189"/>
      <c r="Y19" s="189">
        <f t="shared" si="0"/>
        <v>0</v>
      </c>
      <c r="Z19" s="189">
        <f t="shared" si="1"/>
        <v>0</v>
      </c>
      <c r="AA19" s="189">
        <f t="shared" si="1"/>
        <v>0</v>
      </c>
    </row>
    <row r="20" spans="1:27" ht="21.75" customHeight="1" x14ac:dyDescent="0.25">
      <c r="A20" s="175" t="s">
        <v>228</v>
      </c>
      <c r="B20" s="184" t="s">
        <v>121</v>
      </c>
      <c r="C20" s="192"/>
      <c r="D20" s="189"/>
      <c r="E20" s="189"/>
      <c r="F20" s="189"/>
      <c r="G20" s="189"/>
      <c r="H20" s="189"/>
      <c r="I20" s="189"/>
      <c r="J20" s="189"/>
      <c r="K20" s="189"/>
      <c r="L20" s="189"/>
      <c r="M20" s="189"/>
      <c r="N20" s="189"/>
      <c r="O20" s="189"/>
      <c r="P20" s="189"/>
      <c r="Q20" s="189"/>
      <c r="R20" s="189"/>
      <c r="S20" s="189"/>
      <c r="T20" s="189"/>
      <c r="U20" s="189"/>
      <c r="V20" s="189"/>
      <c r="W20" s="189"/>
      <c r="X20" s="189"/>
      <c r="Y20" s="189">
        <f t="shared" si="0"/>
        <v>0</v>
      </c>
      <c r="Z20" s="189">
        <f t="shared" si="1"/>
        <v>0</v>
      </c>
      <c r="AA20" s="189">
        <f t="shared" si="1"/>
        <v>0</v>
      </c>
    </row>
    <row r="21" spans="1:27" ht="21.75" customHeight="1" x14ac:dyDescent="0.25">
      <c r="A21" s="175" t="s">
        <v>229</v>
      </c>
      <c r="B21" s="181" t="s">
        <v>239</v>
      </c>
      <c r="C21" s="192" t="s">
        <v>211</v>
      </c>
      <c r="D21" s="189">
        <f>+D9+D10+D11+D12+D13+D17+D18+D19</f>
        <v>0</v>
      </c>
      <c r="E21" s="189">
        <f t="shared" ref="E21:AA21" si="3">+E9+E10+E11+E12+E13+E17+E18+E19</f>
        <v>5378111</v>
      </c>
      <c r="F21" s="189">
        <f t="shared" si="3"/>
        <v>5378111</v>
      </c>
      <c r="G21" s="189">
        <f t="shared" si="3"/>
        <v>210068821</v>
      </c>
      <c r="H21" s="189">
        <f t="shared" si="3"/>
        <v>223017238</v>
      </c>
      <c r="I21" s="189">
        <f t="shared" si="3"/>
        <v>195962596</v>
      </c>
      <c r="J21" s="189">
        <f t="shared" si="3"/>
        <v>110745440</v>
      </c>
      <c r="K21" s="189">
        <f t="shared" si="3"/>
        <v>116402367</v>
      </c>
      <c r="L21" s="189">
        <f t="shared" si="3"/>
        <v>87137668</v>
      </c>
      <c r="M21" s="189">
        <f t="shared" si="3"/>
        <v>635000</v>
      </c>
      <c r="N21" s="189">
        <f t="shared" si="3"/>
        <v>635000</v>
      </c>
      <c r="O21" s="189">
        <f t="shared" si="3"/>
        <v>597406</v>
      </c>
      <c r="P21" s="189">
        <f t="shared" si="3"/>
        <v>0</v>
      </c>
      <c r="Q21" s="189">
        <f t="shared" si="3"/>
        <v>500000</v>
      </c>
      <c r="R21" s="189">
        <f t="shared" si="3"/>
        <v>359880</v>
      </c>
      <c r="S21" s="189">
        <f t="shared" si="3"/>
        <v>0</v>
      </c>
      <c r="T21" s="189">
        <f t="shared" si="3"/>
        <v>0</v>
      </c>
      <c r="U21" s="189">
        <f t="shared" si="3"/>
        <v>0</v>
      </c>
      <c r="V21" s="189">
        <f t="shared" si="3"/>
        <v>0</v>
      </c>
      <c r="W21" s="189">
        <f t="shared" si="3"/>
        <v>0</v>
      </c>
      <c r="X21" s="189">
        <f t="shared" si="3"/>
        <v>0</v>
      </c>
      <c r="Y21" s="191">
        <f t="shared" si="3"/>
        <v>321449261</v>
      </c>
      <c r="Z21" s="191">
        <f t="shared" si="3"/>
        <v>345932716</v>
      </c>
      <c r="AA21" s="191">
        <f t="shared" si="3"/>
        <v>289435661</v>
      </c>
    </row>
    <row r="22" spans="1:27" ht="21.75" customHeight="1" x14ac:dyDescent="0.25">
      <c r="A22" s="175" t="s">
        <v>230</v>
      </c>
      <c r="B22" s="181" t="s">
        <v>224</v>
      </c>
      <c r="C22" s="192" t="s">
        <v>220</v>
      </c>
      <c r="D22" s="189">
        <f>SUM(D23:D26)</f>
        <v>0</v>
      </c>
      <c r="E22" s="189">
        <f t="shared" ref="E22:AA22" si="4">SUM(E23:E26)</f>
        <v>0</v>
      </c>
      <c r="F22" s="189">
        <f t="shared" si="4"/>
        <v>0</v>
      </c>
      <c r="G22" s="189">
        <f t="shared" si="4"/>
        <v>0</v>
      </c>
      <c r="H22" s="189">
        <f t="shared" si="4"/>
        <v>0</v>
      </c>
      <c r="I22" s="189">
        <f t="shared" si="4"/>
        <v>0</v>
      </c>
      <c r="J22" s="189">
        <f t="shared" si="4"/>
        <v>0</v>
      </c>
      <c r="K22" s="189">
        <f t="shared" si="4"/>
        <v>0</v>
      </c>
      <c r="L22" s="189">
        <f t="shared" si="4"/>
        <v>0</v>
      </c>
      <c r="M22" s="189">
        <f t="shared" si="4"/>
        <v>0</v>
      </c>
      <c r="N22" s="189">
        <f t="shared" si="4"/>
        <v>0</v>
      </c>
      <c r="O22" s="189">
        <f t="shared" si="4"/>
        <v>0</v>
      </c>
      <c r="P22" s="189">
        <f t="shared" si="4"/>
        <v>0</v>
      </c>
      <c r="Q22" s="189">
        <f t="shared" si="4"/>
        <v>0</v>
      </c>
      <c r="R22" s="189">
        <f t="shared" si="4"/>
        <v>0</v>
      </c>
      <c r="S22" s="189">
        <f t="shared" si="4"/>
        <v>0</v>
      </c>
      <c r="T22" s="189">
        <f t="shared" si="4"/>
        <v>0</v>
      </c>
      <c r="U22" s="189">
        <f t="shared" si="4"/>
        <v>0</v>
      </c>
      <c r="V22" s="189">
        <f t="shared" si="4"/>
        <v>0</v>
      </c>
      <c r="W22" s="189">
        <f t="shared" si="4"/>
        <v>0</v>
      </c>
      <c r="X22" s="189">
        <f t="shared" si="4"/>
        <v>0</v>
      </c>
      <c r="Y22" s="189">
        <f t="shared" si="4"/>
        <v>0</v>
      </c>
      <c r="Z22" s="189">
        <f t="shared" si="4"/>
        <v>0</v>
      </c>
      <c r="AA22" s="189">
        <f t="shared" si="4"/>
        <v>0</v>
      </c>
    </row>
    <row r="23" spans="1:27" ht="21.75" customHeight="1" x14ac:dyDescent="0.25">
      <c r="A23" s="175" t="s">
        <v>231</v>
      </c>
      <c r="B23" s="90" t="s">
        <v>179</v>
      </c>
      <c r="C23" s="193"/>
      <c r="D23" s="189"/>
      <c r="E23" s="189"/>
      <c r="F23" s="189"/>
      <c r="G23" s="189"/>
      <c r="H23" s="189"/>
      <c r="I23" s="189"/>
      <c r="J23" s="189"/>
      <c r="K23" s="189"/>
      <c r="L23" s="189"/>
      <c r="M23" s="189"/>
      <c r="N23" s="189"/>
      <c r="O23" s="189"/>
      <c r="P23" s="189"/>
      <c r="Q23" s="189"/>
      <c r="R23" s="189"/>
      <c r="S23" s="189"/>
      <c r="T23" s="189"/>
      <c r="U23" s="189"/>
      <c r="V23" s="189"/>
      <c r="W23" s="189"/>
      <c r="X23" s="189"/>
      <c r="Y23" s="189">
        <f t="shared" si="0"/>
        <v>0</v>
      </c>
      <c r="Z23" s="189">
        <f t="shared" si="1"/>
        <v>0</v>
      </c>
      <c r="AA23" s="189">
        <f t="shared" si="1"/>
        <v>0</v>
      </c>
    </row>
    <row r="24" spans="1:27" ht="21.75" customHeight="1" x14ac:dyDescent="0.25">
      <c r="A24" s="175" t="s">
        <v>232</v>
      </c>
      <c r="B24" s="180" t="s">
        <v>520</v>
      </c>
      <c r="C24" s="193"/>
      <c r="D24" s="189"/>
      <c r="E24" s="189"/>
      <c r="F24" s="189"/>
      <c r="G24" s="189"/>
      <c r="H24" s="189"/>
      <c r="I24" s="189"/>
      <c r="J24" s="189"/>
      <c r="K24" s="189"/>
      <c r="L24" s="189"/>
      <c r="M24" s="189"/>
      <c r="N24" s="189"/>
      <c r="O24" s="189"/>
      <c r="P24" s="189"/>
      <c r="Q24" s="189"/>
      <c r="R24" s="189"/>
      <c r="S24" s="189"/>
      <c r="T24" s="189"/>
      <c r="U24" s="189"/>
      <c r="V24" s="189"/>
      <c r="W24" s="189"/>
      <c r="X24" s="189"/>
      <c r="Y24" s="189">
        <f t="shared" si="0"/>
        <v>0</v>
      </c>
      <c r="Z24" s="189">
        <f t="shared" si="1"/>
        <v>0</v>
      </c>
      <c r="AA24" s="189">
        <f t="shared" si="1"/>
        <v>0</v>
      </c>
    </row>
    <row r="25" spans="1:27" ht="21.75" customHeight="1" x14ac:dyDescent="0.25">
      <c r="A25" s="175" t="s">
        <v>233</v>
      </c>
      <c r="B25" s="180" t="s">
        <v>521</v>
      </c>
      <c r="C25" s="193"/>
      <c r="D25" s="189"/>
      <c r="E25" s="189"/>
      <c r="F25" s="189"/>
      <c r="G25" s="189"/>
      <c r="H25" s="189"/>
      <c r="I25" s="189"/>
      <c r="J25" s="189"/>
      <c r="K25" s="189"/>
      <c r="L25" s="189"/>
      <c r="M25" s="189"/>
      <c r="N25" s="189"/>
      <c r="O25" s="189"/>
      <c r="P25" s="189"/>
      <c r="Q25" s="189"/>
      <c r="R25" s="189"/>
      <c r="S25" s="189"/>
      <c r="T25" s="189"/>
      <c r="U25" s="189"/>
      <c r="V25" s="189"/>
      <c r="W25" s="189"/>
      <c r="X25" s="189"/>
      <c r="Y25" s="189">
        <f t="shared" si="0"/>
        <v>0</v>
      </c>
      <c r="Z25" s="189">
        <f t="shared" si="1"/>
        <v>0</v>
      </c>
      <c r="AA25" s="189">
        <f t="shared" si="1"/>
        <v>0</v>
      </c>
    </row>
    <row r="26" spans="1:27" ht="21.75" customHeight="1" x14ac:dyDescent="0.25">
      <c r="A26" s="175" t="s">
        <v>234</v>
      </c>
      <c r="B26" s="180" t="s">
        <v>123</v>
      </c>
      <c r="C26" s="193"/>
      <c r="D26" s="189"/>
      <c r="E26" s="189"/>
      <c r="F26" s="189"/>
      <c r="G26" s="189"/>
      <c r="H26" s="189"/>
      <c r="I26" s="189"/>
      <c r="J26" s="189"/>
      <c r="K26" s="189"/>
      <c r="L26" s="189"/>
      <c r="M26" s="189"/>
      <c r="N26" s="189"/>
      <c r="O26" s="189"/>
      <c r="P26" s="189"/>
      <c r="Q26" s="189"/>
      <c r="R26" s="189"/>
      <c r="S26" s="189"/>
      <c r="T26" s="189"/>
      <c r="U26" s="189"/>
      <c r="V26" s="189"/>
      <c r="W26" s="189"/>
      <c r="X26" s="189"/>
      <c r="Y26" s="189">
        <f t="shared" si="0"/>
        <v>0</v>
      </c>
      <c r="Z26" s="189">
        <f t="shared" si="1"/>
        <v>0</v>
      </c>
      <c r="AA26" s="189">
        <f t="shared" si="1"/>
        <v>0</v>
      </c>
    </row>
    <row r="27" spans="1:27" ht="21.75" customHeight="1" x14ac:dyDescent="0.25">
      <c r="A27" s="175" t="s">
        <v>235</v>
      </c>
      <c r="B27" s="222" t="s">
        <v>742</v>
      </c>
      <c r="C27" s="193"/>
      <c r="D27" s="189"/>
      <c r="E27" s="189"/>
      <c r="F27" s="189"/>
      <c r="G27" s="189"/>
      <c r="H27" s="189"/>
      <c r="I27" s="189"/>
      <c r="J27" s="189"/>
      <c r="K27" s="189"/>
      <c r="L27" s="189"/>
      <c r="M27" s="189"/>
      <c r="N27" s="189"/>
      <c r="O27" s="189"/>
      <c r="P27" s="189"/>
      <c r="Q27" s="189"/>
      <c r="R27" s="189"/>
      <c r="S27" s="189"/>
      <c r="T27" s="189"/>
      <c r="U27" s="189"/>
      <c r="V27" s="189"/>
      <c r="W27" s="189"/>
      <c r="X27" s="189"/>
      <c r="Y27" s="189">
        <f t="shared" si="0"/>
        <v>0</v>
      </c>
      <c r="Z27" s="189">
        <f t="shared" si="1"/>
        <v>0</v>
      </c>
      <c r="AA27" s="189">
        <f t="shared" si="1"/>
        <v>0</v>
      </c>
    </row>
    <row r="28" spans="1:27" ht="21.75" customHeight="1" x14ac:dyDescent="0.25">
      <c r="A28" s="175" t="s">
        <v>236</v>
      </c>
      <c r="B28" s="178" t="s">
        <v>32</v>
      </c>
      <c r="C28" s="192"/>
      <c r="D28" s="191">
        <f>+D9+D10+D11+D12+D13+D23+D24</f>
        <v>0</v>
      </c>
      <c r="E28" s="191">
        <f t="shared" ref="E28:AA28" si="5">+E9+E10+E11+E12+E13+E23+E24</f>
        <v>5378111</v>
      </c>
      <c r="F28" s="191">
        <f t="shared" si="5"/>
        <v>5378111</v>
      </c>
      <c r="G28" s="191">
        <f t="shared" si="5"/>
        <v>209464301</v>
      </c>
      <c r="H28" s="191">
        <f t="shared" si="5"/>
        <v>220121466</v>
      </c>
      <c r="I28" s="191">
        <f t="shared" si="5"/>
        <v>193129824</v>
      </c>
      <c r="J28" s="191">
        <f t="shared" si="5"/>
        <v>110364440</v>
      </c>
      <c r="K28" s="191">
        <f t="shared" si="5"/>
        <v>116014077</v>
      </c>
      <c r="L28" s="191">
        <f t="shared" si="5"/>
        <v>86951068</v>
      </c>
      <c r="M28" s="191">
        <f t="shared" si="5"/>
        <v>635000</v>
      </c>
      <c r="N28" s="191">
        <f t="shared" si="5"/>
        <v>635000</v>
      </c>
      <c r="O28" s="191">
        <f t="shared" si="5"/>
        <v>597406</v>
      </c>
      <c r="P28" s="191">
        <f t="shared" si="5"/>
        <v>0</v>
      </c>
      <c r="Q28" s="191">
        <f t="shared" si="5"/>
        <v>500000</v>
      </c>
      <c r="R28" s="191">
        <f t="shared" si="5"/>
        <v>359880</v>
      </c>
      <c r="S28" s="191">
        <f t="shared" si="5"/>
        <v>0</v>
      </c>
      <c r="T28" s="191">
        <f t="shared" si="5"/>
        <v>0</v>
      </c>
      <c r="U28" s="191">
        <f t="shared" si="5"/>
        <v>0</v>
      </c>
      <c r="V28" s="191">
        <f t="shared" si="5"/>
        <v>0</v>
      </c>
      <c r="W28" s="191">
        <f t="shared" si="5"/>
        <v>0</v>
      </c>
      <c r="X28" s="191">
        <f t="shared" si="5"/>
        <v>0</v>
      </c>
      <c r="Y28" s="191">
        <f t="shared" si="5"/>
        <v>320463741</v>
      </c>
      <c r="Z28" s="191">
        <f t="shared" si="5"/>
        <v>342648654</v>
      </c>
      <c r="AA28" s="191">
        <f t="shared" si="5"/>
        <v>286416289</v>
      </c>
    </row>
    <row r="29" spans="1:27" ht="21.75" customHeight="1" x14ac:dyDescent="0.25">
      <c r="A29" s="175" t="s">
        <v>261</v>
      </c>
      <c r="B29" s="178" t="s">
        <v>33</v>
      </c>
      <c r="C29" s="192"/>
      <c r="D29" s="191">
        <f>+D17+D18+D19+D25+D26</f>
        <v>0</v>
      </c>
      <c r="E29" s="191">
        <f t="shared" ref="E29:AA29" si="6">+E17+E18+E19+E25+E26</f>
        <v>0</v>
      </c>
      <c r="F29" s="191">
        <f t="shared" si="6"/>
        <v>0</v>
      </c>
      <c r="G29" s="191">
        <f t="shared" si="6"/>
        <v>604520</v>
      </c>
      <c r="H29" s="191">
        <f t="shared" si="6"/>
        <v>2895772</v>
      </c>
      <c r="I29" s="191">
        <f t="shared" si="6"/>
        <v>2832772</v>
      </c>
      <c r="J29" s="191">
        <f t="shared" si="6"/>
        <v>381000</v>
      </c>
      <c r="K29" s="191">
        <f t="shared" si="6"/>
        <v>388290</v>
      </c>
      <c r="L29" s="191">
        <f t="shared" si="6"/>
        <v>186600</v>
      </c>
      <c r="M29" s="191">
        <f t="shared" si="6"/>
        <v>0</v>
      </c>
      <c r="N29" s="191">
        <f t="shared" si="6"/>
        <v>0</v>
      </c>
      <c r="O29" s="191">
        <f t="shared" si="6"/>
        <v>0</v>
      </c>
      <c r="P29" s="191">
        <f t="shared" si="6"/>
        <v>0</v>
      </c>
      <c r="Q29" s="191">
        <f t="shared" si="6"/>
        <v>0</v>
      </c>
      <c r="R29" s="191">
        <f t="shared" si="6"/>
        <v>0</v>
      </c>
      <c r="S29" s="191">
        <f t="shared" si="6"/>
        <v>0</v>
      </c>
      <c r="T29" s="191">
        <f t="shared" si="6"/>
        <v>0</v>
      </c>
      <c r="U29" s="191">
        <f t="shared" si="6"/>
        <v>0</v>
      </c>
      <c r="V29" s="191">
        <f t="shared" si="6"/>
        <v>0</v>
      </c>
      <c r="W29" s="191">
        <f t="shared" si="6"/>
        <v>0</v>
      </c>
      <c r="X29" s="191">
        <f t="shared" si="6"/>
        <v>0</v>
      </c>
      <c r="Y29" s="191">
        <f t="shared" si="6"/>
        <v>985520</v>
      </c>
      <c r="Z29" s="191">
        <f t="shared" si="6"/>
        <v>3284062</v>
      </c>
      <c r="AA29" s="191">
        <f t="shared" si="6"/>
        <v>3019372</v>
      </c>
    </row>
    <row r="30" spans="1:27" ht="21.75" customHeight="1" x14ac:dyDescent="0.25">
      <c r="A30" s="175" t="s">
        <v>262</v>
      </c>
      <c r="B30" s="178" t="s">
        <v>328</v>
      </c>
      <c r="C30" s="192" t="s">
        <v>31</v>
      </c>
      <c r="D30" s="191">
        <f>SUM(D28:D29)</f>
        <v>0</v>
      </c>
      <c r="E30" s="191">
        <f t="shared" ref="E30:AA30" si="7">SUM(E28:E29)</f>
        <v>5378111</v>
      </c>
      <c r="F30" s="191">
        <f t="shared" si="7"/>
        <v>5378111</v>
      </c>
      <c r="G30" s="191">
        <f t="shared" si="7"/>
        <v>210068821</v>
      </c>
      <c r="H30" s="191">
        <f t="shared" si="7"/>
        <v>223017238</v>
      </c>
      <c r="I30" s="191">
        <f t="shared" si="7"/>
        <v>195962596</v>
      </c>
      <c r="J30" s="191">
        <f t="shared" si="7"/>
        <v>110745440</v>
      </c>
      <c r="K30" s="191">
        <f t="shared" si="7"/>
        <v>116402367</v>
      </c>
      <c r="L30" s="191">
        <f t="shared" si="7"/>
        <v>87137668</v>
      </c>
      <c r="M30" s="191">
        <f t="shared" si="7"/>
        <v>635000</v>
      </c>
      <c r="N30" s="191">
        <f t="shared" si="7"/>
        <v>635000</v>
      </c>
      <c r="O30" s="191">
        <f t="shared" si="7"/>
        <v>597406</v>
      </c>
      <c r="P30" s="191">
        <f t="shared" si="7"/>
        <v>0</v>
      </c>
      <c r="Q30" s="191">
        <f t="shared" si="7"/>
        <v>500000</v>
      </c>
      <c r="R30" s="191">
        <f t="shared" si="7"/>
        <v>359880</v>
      </c>
      <c r="S30" s="191">
        <f t="shared" si="7"/>
        <v>0</v>
      </c>
      <c r="T30" s="191">
        <f t="shared" si="7"/>
        <v>0</v>
      </c>
      <c r="U30" s="191">
        <f t="shared" si="7"/>
        <v>0</v>
      </c>
      <c r="V30" s="191">
        <f t="shared" si="7"/>
        <v>0</v>
      </c>
      <c r="W30" s="191">
        <f t="shared" si="7"/>
        <v>0</v>
      </c>
      <c r="X30" s="191">
        <f t="shared" si="7"/>
        <v>0</v>
      </c>
      <c r="Y30" s="191">
        <f t="shared" si="7"/>
        <v>321449261</v>
      </c>
      <c r="Z30" s="191">
        <f t="shared" si="7"/>
        <v>345932716</v>
      </c>
      <c r="AA30" s="191">
        <f t="shared" si="7"/>
        <v>289435661</v>
      </c>
    </row>
    <row r="31" spans="1:27" ht="21.75" customHeight="1" x14ac:dyDescent="0.25">
      <c r="A31" s="175" t="s">
        <v>263</v>
      </c>
      <c r="B31" s="183" t="s">
        <v>52</v>
      </c>
      <c r="C31" s="181" t="s">
        <v>212</v>
      </c>
      <c r="D31" s="189"/>
      <c r="E31" s="189"/>
      <c r="F31" s="189"/>
      <c r="G31" s="189"/>
      <c r="H31" s="189"/>
      <c r="I31" s="189"/>
      <c r="J31" s="189"/>
      <c r="K31" s="189"/>
      <c r="L31" s="189"/>
      <c r="M31" s="189"/>
      <c r="N31" s="189"/>
      <c r="O31" s="189"/>
      <c r="P31" s="189"/>
      <c r="Q31" s="189"/>
      <c r="R31" s="189"/>
      <c r="S31" s="189"/>
      <c r="T31" s="189"/>
      <c r="U31" s="189"/>
      <c r="V31" s="189"/>
      <c r="W31" s="189"/>
      <c r="X31" s="189"/>
      <c r="Y31" s="189">
        <f t="shared" si="0"/>
        <v>0</v>
      </c>
      <c r="Z31" s="189">
        <f t="shared" si="1"/>
        <v>0</v>
      </c>
      <c r="AA31" s="189">
        <f t="shared" si="1"/>
        <v>0</v>
      </c>
    </row>
    <row r="32" spans="1:27" ht="21.75" customHeight="1" x14ac:dyDescent="0.25">
      <c r="A32" s="175" t="s">
        <v>264</v>
      </c>
      <c r="B32" s="183" t="s">
        <v>223</v>
      </c>
      <c r="C32" s="181" t="s">
        <v>213</v>
      </c>
      <c r="D32" s="189"/>
      <c r="E32" s="189"/>
      <c r="F32" s="189"/>
      <c r="G32" s="189"/>
      <c r="H32" s="189"/>
      <c r="I32" s="189"/>
      <c r="J32" s="189"/>
      <c r="K32" s="189"/>
      <c r="L32" s="189"/>
      <c r="M32" s="189"/>
      <c r="N32" s="189"/>
      <c r="O32" s="189"/>
      <c r="P32" s="189"/>
      <c r="Q32" s="189"/>
      <c r="R32" s="189"/>
      <c r="S32" s="189"/>
      <c r="T32" s="189"/>
      <c r="U32" s="189"/>
      <c r="V32" s="189"/>
      <c r="W32" s="189"/>
      <c r="X32" s="189"/>
      <c r="Y32" s="189">
        <f t="shared" si="0"/>
        <v>0</v>
      </c>
      <c r="Z32" s="189">
        <f t="shared" si="1"/>
        <v>0</v>
      </c>
      <c r="AA32" s="189">
        <f t="shared" si="1"/>
        <v>0</v>
      </c>
    </row>
    <row r="33" spans="1:27" ht="21.75" customHeight="1" x14ac:dyDescent="0.25">
      <c r="A33" s="175" t="s">
        <v>265</v>
      </c>
      <c r="B33" s="183" t="s">
        <v>222</v>
      </c>
      <c r="C33" s="181" t="s">
        <v>214</v>
      </c>
      <c r="D33" s="189"/>
      <c r="E33" s="189"/>
      <c r="F33" s="189"/>
      <c r="G33" s="189"/>
      <c r="H33" s="189"/>
      <c r="I33" s="189"/>
      <c r="J33" s="189"/>
      <c r="K33" s="189"/>
      <c r="L33" s="189"/>
      <c r="M33" s="189"/>
      <c r="N33" s="189"/>
      <c r="O33" s="189"/>
      <c r="P33" s="189"/>
      <c r="Q33" s="189"/>
      <c r="R33" s="189"/>
      <c r="S33" s="189"/>
      <c r="T33" s="189"/>
      <c r="U33" s="189"/>
      <c r="V33" s="189"/>
      <c r="W33" s="189"/>
      <c r="X33" s="189"/>
      <c r="Y33" s="189">
        <f t="shared" si="0"/>
        <v>0</v>
      </c>
      <c r="Z33" s="189">
        <f t="shared" si="1"/>
        <v>0</v>
      </c>
      <c r="AA33" s="189">
        <f t="shared" si="1"/>
        <v>0</v>
      </c>
    </row>
    <row r="34" spans="1:27" ht="21.75" customHeight="1" x14ac:dyDescent="0.25">
      <c r="A34" s="175" t="s">
        <v>266</v>
      </c>
      <c r="B34" s="182" t="s">
        <v>0</v>
      </c>
      <c r="C34" s="181" t="s">
        <v>215</v>
      </c>
      <c r="D34" s="189"/>
      <c r="E34" s="189"/>
      <c r="F34" s="189"/>
      <c r="G34" s="189">
        <v>20</v>
      </c>
      <c r="H34" s="189">
        <v>254857</v>
      </c>
      <c r="I34" s="189">
        <v>254857</v>
      </c>
      <c r="J34" s="189"/>
      <c r="K34" s="189">
        <v>783</v>
      </c>
      <c r="L34" s="189">
        <v>783</v>
      </c>
      <c r="M34" s="189"/>
      <c r="N34" s="189"/>
      <c r="O34" s="189"/>
      <c r="P34" s="189"/>
      <c r="Q34" s="189"/>
      <c r="R34" s="189"/>
      <c r="S34" s="189"/>
      <c r="T34" s="189"/>
      <c r="U34" s="189"/>
      <c r="V34" s="189"/>
      <c r="W34" s="189"/>
      <c r="X34" s="189"/>
      <c r="Y34" s="189">
        <f t="shared" si="0"/>
        <v>20</v>
      </c>
      <c r="Z34" s="189">
        <f t="shared" si="1"/>
        <v>255640</v>
      </c>
      <c r="AA34" s="189">
        <f t="shared" si="1"/>
        <v>255640</v>
      </c>
    </row>
    <row r="35" spans="1:27" ht="21.75" customHeight="1" x14ac:dyDescent="0.25">
      <c r="A35" s="175" t="s">
        <v>267</v>
      </c>
      <c r="B35" s="183" t="s">
        <v>245</v>
      </c>
      <c r="C35" s="181" t="s">
        <v>216</v>
      </c>
      <c r="D35" s="189"/>
      <c r="E35" s="189"/>
      <c r="F35" s="189"/>
      <c r="G35" s="189"/>
      <c r="H35" s="189"/>
      <c r="I35" s="189"/>
      <c r="J35" s="189"/>
      <c r="K35" s="189"/>
      <c r="L35" s="189"/>
      <c r="M35" s="189"/>
      <c r="N35" s="189"/>
      <c r="O35" s="189"/>
      <c r="P35" s="189"/>
      <c r="Q35" s="189"/>
      <c r="R35" s="189"/>
      <c r="S35" s="189"/>
      <c r="T35" s="189"/>
      <c r="U35" s="189"/>
      <c r="V35" s="189"/>
      <c r="W35" s="189"/>
      <c r="X35" s="189"/>
      <c r="Y35" s="189">
        <f t="shared" si="0"/>
        <v>0</v>
      </c>
      <c r="Z35" s="189">
        <f t="shared" si="1"/>
        <v>0</v>
      </c>
      <c r="AA35" s="189">
        <f t="shared" si="1"/>
        <v>0</v>
      </c>
    </row>
    <row r="36" spans="1:27" ht="21.75" customHeight="1" x14ac:dyDescent="0.25">
      <c r="A36" s="175" t="s">
        <v>268</v>
      </c>
      <c r="B36" s="183" t="s">
        <v>240</v>
      </c>
      <c r="C36" s="181" t="s">
        <v>217</v>
      </c>
      <c r="D36" s="189"/>
      <c r="E36" s="189"/>
      <c r="F36" s="189"/>
      <c r="G36" s="189"/>
      <c r="H36" s="189"/>
      <c r="I36" s="189"/>
      <c r="J36" s="189"/>
      <c r="K36" s="189"/>
      <c r="L36" s="189"/>
      <c r="M36" s="189"/>
      <c r="N36" s="189"/>
      <c r="O36" s="189"/>
      <c r="P36" s="189"/>
      <c r="Q36" s="189"/>
      <c r="R36" s="189"/>
      <c r="S36" s="189"/>
      <c r="T36" s="189"/>
      <c r="U36" s="189"/>
      <c r="V36" s="189"/>
      <c r="W36" s="189"/>
      <c r="X36" s="189"/>
      <c r="Y36" s="189">
        <f t="shared" si="0"/>
        <v>0</v>
      </c>
      <c r="Z36" s="189">
        <f t="shared" si="1"/>
        <v>0</v>
      </c>
      <c r="AA36" s="189">
        <f t="shared" si="1"/>
        <v>0</v>
      </c>
    </row>
    <row r="37" spans="1:27" ht="21.75" customHeight="1" x14ac:dyDescent="0.25">
      <c r="A37" s="175" t="s">
        <v>269</v>
      </c>
      <c r="B37" s="183" t="s">
        <v>241</v>
      </c>
      <c r="C37" s="181" t="s">
        <v>218</v>
      </c>
      <c r="D37" s="189"/>
      <c r="E37" s="189"/>
      <c r="F37" s="189"/>
      <c r="G37" s="189"/>
      <c r="H37" s="189"/>
      <c r="I37" s="189"/>
      <c r="J37" s="189"/>
      <c r="K37" s="189"/>
      <c r="L37" s="189"/>
      <c r="M37" s="189"/>
      <c r="N37" s="189"/>
      <c r="O37" s="189"/>
      <c r="P37" s="189"/>
      <c r="Q37" s="189"/>
      <c r="R37" s="189"/>
      <c r="S37" s="189"/>
      <c r="T37" s="189"/>
      <c r="U37" s="189"/>
      <c r="V37" s="189"/>
      <c r="W37" s="189"/>
      <c r="X37" s="189"/>
      <c r="Y37" s="189">
        <f t="shared" si="0"/>
        <v>0</v>
      </c>
      <c r="Z37" s="189">
        <f t="shared" si="1"/>
        <v>0</v>
      </c>
      <c r="AA37" s="189">
        <f t="shared" si="1"/>
        <v>0</v>
      </c>
    </row>
    <row r="38" spans="1:27" ht="21.75" customHeight="1" x14ac:dyDescent="0.25">
      <c r="A38" s="175" t="s">
        <v>270</v>
      </c>
      <c r="B38" s="182" t="s">
        <v>242</v>
      </c>
      <c r="C38" s="181" t="s">
        <v>219</v>
      </c>
      <c r="D38" s="189">
        <f>+D31+D32+D33+D34+D35+D36+D37</f>
        <v>0</v>
      </c>
      <c r="E38" s="189">
        <f t="shared" ref="E38:Z38" si="8">+E31+E32+E33+E34+E35+E36+E37</f>
        <v>0</v>
      </c>
      <c r="F38" s="189">
        <f t="shared" si="8"/>
        <v>0</v>
      </c>
      <c r="G38" s="189">
        <f t="shared" si="8"/>
        <v>20</v>
      </c>
      <c r="H38" s="189">
        <f t="shared" si="8"/>
        <v>254857</v>
      </c>
      <c r="I38" s="189">
        <f t="shared" si="8"/>
        <v>254857</v>
      </c>
      <c r="J38" s="189">
        <f t="shared" si="8"/>
        <v>0</v>
      </c>
      <c r="K38" s="189">
        <f t="shared" si="8"/>
        <v>783</v>
      </c>
      <c r="L38" s="189">
        <f t="shared" si="8"/>
        <v>783</v>
      </c>
      <c r="M38" s="189">
        <f t="shared" si="8"/>
        <v>0</v>
      </c>
      <c r="N38" s="189">
        <f t="shared" si="8"/>
        <v>0</v>
      </c>
      <c r="O38" s="189">
        <f t="shared" si="8"/>
        <v>0</v>
      </c>
      <c r="P38" s="189">
        <f t="shared" si="8"/>
        <v>0</v>
      </c>
      <c r="Q38" s="189">
        <f t="shared" si="8"/>
        <v>0</v>
      </c>
      <c r="R38" s="189">
        <f t="shared" si="8"/>
        <v>0</v>
      </c>
      <c r="S38" s="189">
        <f t="shared" si="8"/>
        <v>0</v>
      </c>
      <c r="T38" s="189">
        <f t="shared" si="8"/>
        <v>0</v>
      </c>
      <c r="U38" s="189">
        <f t="shared" si="8"/>
        <v>0</v>
      </c>
      <c r="V38" s="189">
        <f t="shared" si="8"/>
        <v>0</v>
      </c>
      <c r="W38" s="189">
        <f t="shared" si="8"/>
        <v>0</v>
      </c>
      <c r="X38" s="189">
        <f t="shared" si="8"/>
        <v>0</v>
      </c>
      <c r="Y38" s="191">
        <f t="shared" si="8"/>
        <v>20</v>
      </c>
      <c r="Z38" s="191">
        <f t="shared" si="8"/>
        <v>255640</v>
      </c>
      <c r="AA38" s="191">
        <f t="shared" si="1"/>
        <v>255640</v>
      </c>
    </row>
    <row r="39" spans="1:27" ht="21.75" customHeight="1" x14ac:dyDescent="0.25">
      <c r="A39" s="175" t="s">
        <v>271</v>
      </c>
      <c r="B39" s="181" t="s">
        <v>243</v>
      </c>
      <c r="C39" s="192" t="s">
        <v>221</v>
      </c>
      <c r="D39" s="189">
        <f>SUM(D41:D45)</f>
        <v>321449241</v>
      </c>
      <c r="E39" s="189">
        <f>SUM(E41:E45)</f>
        <v>345677076</v>
      </c>
      <c r="F39" s="189">
        <f t="shared" ref="F39:AA39" si="9">SUM(F41:F45)</f>
        <v>300088852</v>
      </c>
      <c r="G39" s="189">
        <f t="shared" si="9"/>
        <v>0</v>
      </c>
      <c r="H39" s="189">
        <f t="shared" si="9"/>
        <v>0</v>
      </c>
      <c r="I39" s="189">
        <f t="shared" si="9"/>
        <v>0</v>
      </c>
      <c r="J39" s="189">
        <f t="shared" si="9"/>
        <v>0</v>
      </c>
      <c r="K39" s="189">
        <f t="shared" si="9"/>
        <v>0</v>
      </c>
      <c r="L39" s="189">
        <f t="shared" si="9"/>
        <v>0</v>
      </c>
      <c r="M39" s="189">
        <f t="shared" si="9"/>
        <v>0</v>
      </c>
      <c r="N39" s="189">
        <f t="shared" si="9"/>
        <v>0</v>
      </c>
      <c r="O39" s="189">
        <f t="shared" si="9"/>
        <v>0</v>
      </c>
      <c r="P39" s="189">
        <f t="shared" si="9"/>
        <v>0</v>
      </c>
      <c r="Q39" s="189">
        <f t="shared" si="9"/>
        <v>0</v>
      </c>
      <c r="R39" s="189">
        <f t="shared" si="9"/>
        <v>0</v>
      </c>
      <c r="S39" s="189">
        <f t="shared" si="9"/>
        <v>0</v>
      </c>
      <c r="T39" s="189">
        <f t="shared" si="9"/>
        <v>0</v>
      </c>
      <c r="U39" s="189">
        <f t="shared" si="9"/>
        <v>0</v>
      </c>
      <c r="V39" s="189">
        <f t="shared" si="9"/>
        <v>0</v>
      </c>
      <c r="W39" s="189">
        <f t="shared" si="9"/>
        <v>0</v>
      </c>
      <c r="X39" s="189">
        <f t="shared" si="9"/>
        <v>0</v>
      </c>
      <c r="Y39" s="189">
        <f t="shared" si="9"/>
        <v>321449241</v>
      </c>
      <c r="Z39" s="189">
        <f t="shared" si="9"/>
        <v>345677076</v>
      </c>
      <c r="AA39" s="189">
        <f t="shared" si="9"/>
        <v>300088852</v>
      </c>
    </row>
    <row r="40" spans="1:27" ht="21.75" customHeight="1" x14ac:dyDescent="0.25">
      <c r="A40" s="175" t="s">
        <v>272</v>
      </c>
      <c r="B40" s="90" t="s">
        <v>543</v>
      </c>
      <c r="C40" s="192"/>
      <c r="D40" s="189"/>
      <c r="E40" s="189"/>
      <c r="F40" s="189"/>
      <c r="G40" s="189"/>
      <c r="H40" s="189"/>
      <c r="I40" s="189"/>
      <c r="J40" s="189"/>
      <c r="K40" s="189"/>
      <c r="L40" s="189"/>
      <c r="M40" s="189"/>
      <c r="N40" s="189"/>
      <c r="O40" s="189"/>
      <c r="P40" s="189"/>
      <c r="Q40" s="189"/>
      <c r="R40" s="189"/>
      <c r="S40" s="189"/>
      <c r="T40" s="189"/>
      <c r="U40" s="189"/>
      <c r="V40" s="189"/>
      <c r="W40" s="189"/>
      <c r="X40" s="189"/>
      <c r="Y40" s="189">
        <f t="shared" si="0"/>
        <v>0</v>
      </c>
      <c r="Z40" s="189">
        <f t="shared" si="1"/>
        <v>0</v>
      </c>
      <c r="AA40" s="189">
        <f t="shared" si="1"/>
        <v>0</v>
      </c>
    </row>
    <row r="41" spans="1:27" ht="21.75" customHeight="1" x14ac:dyDescent="0.25">
      <c r="A41" s="175" t="s">
        <v>273</v>
      </c>
      <c r="B41" s="180" t="s">
        <v>768</v>
      </c>
      <c r="C41" s="193"/>
      <c r="D41" s="189">
        <f>22860+245157</f>
        <v>268017</v>
      </c>
      <c r="E41" s="189">
        <f>22860+245157+5378111</f>
        <v>5646128</v>
      </c>
      <c r="F41" s="189">
        <v>5646128</v>
      </c>
      <c r="G41" s="189"/>
      <c r="H41" s="189"/>
      <c r="I41" s="189"/>
      <c r="J41" s="189"/>
      <c r="K41" s="189"/>
      <c r="L41" s="189"/>
      <c r="M41" s="189"/>
      <c r="N41" s="189"/>
      <c r="O41" s="189"/>
      <c r="P41" s="189"/>
      <c r="Q41" s="189"/>
      <c r="R41" s="189"/>
      <c r="S41" s="189"/>
      <c r="T41" s="189"/>
      <c r="U41" s="189"/>
      <c r="V41" s="189"/>
      <c r="W41" s="189"/>
      <c r="X41" s="189"/>
      <c r="Y41" s="189">
        <f t="shared" si="0"/>
        <v>268017</v>
      </c>
      <c r="Z41" s="189">
        <f t="shared" si="1"/>
        <v>5646128</v>
      </c>
      <c r="AA41" s="189">
        <f t="shared" si="1"/>
        <v>5646128</v>
      </c>
    </row>
    <row r="42" spans="1:27" ht="21.75" customHeight="1" x14ac:dyDescent="0.25">
      <c r="A42" s="175" t="s">
        <v>277</v>
      </c>
      <c r="B42" s="180" t="s">
        <v>769</v>
      </c>
      <c r="C42" s="193"/>
      <c r="D42" s="189"/>
      <c r="E42" s="189"/>
      <c r="F42" s="189"/>
      <c r="G42" s="189"/>
      <c r="H42" s="189"/>
      <c r="I42" s="189"/>
      <c r="J42" s="189"/>
      <c r="K42" s="189"/>
      <c r="L42" s="189"/>
      <c r="M42" s="189"/>
      <c r="N42" s="189"/>
      <c r="O42" s="189"/>
      <c r="P42" s="189"/>
      <c r="Q42" s="189"/>
      <c r="R42" s="189"/>
      <c r="S42" s="189"/>
      <c r="T42" s="189"/>
      <c r="U42" s="189"/>
      <c r="V42" s="189"/>
      <c r="W42" s="189"/>
      <c r="X42" s="189"/>
      <c r="Y42" s="189">
        <f t="shared" si="0"/>
        <v>0</v>
      </c>
      <c r="Z42" s="189">
        <f t="shared" si="1"/>
        <v>0</v>
      </c>
      <c r="AA42" s="189">
        <f t="shared" si="1"/>
        <v>0</v>
      </c>
    </row>
    <row r="43" spans="1:27" ht="21.75" customHeight="1" x14ac:dyDescent="0.25">
      <c r="A43" s="175" t="s">
        <v>278</v>
      </c>
      <c r="B43" s="180" t="s">
        <v>506</v>
      </c>
      <c r="C43" s="193"/>
      <c r="D43" s="189">
        <f>+Y28-Y31-Y33-Y34-Y36-Y41</f>
        <v>320195704</v>
      </c>
      <c r="E43" s="189">
        <f>+Z28-Z31-Z33-Z34-Z36-Z41</f>
        <v>336746886</v>
      </c>
      <c r="F43" s="189">
        <f>294442724-F44</f>
        <v>291158662</v>
      </c>
      <c r="G43" s="189"/>
      <c r="H43" s="189"/>
      <c r="I43" s="189"/>
      <c r="J43" s="189"/>
      <c r="K43" s="189"/>
      <c r="L43" s="189"/>
      <c r="M43" s="189"/>
      <c r="N43" s="189"/>
      <c r="O43" s="189"/>
      <c r="P43" s="189"/>
      <c r="Q43" s="189"/>
      <c r="R43" s="189"/>
      <c r="S43" s="189"/>
      <c r="T43" s="189"/>
      <c r="U43" s="189"/>
      <c r="V43" s="189"/>
      <c r="W43" s="189"/>
      <c r="X43" s="189"/>
      <c r="Y43" s="189">
        <f t="shared" si="0"/>
        <v>320195704</v>
      </c>
      <c r="Z43" s="189">
        <f t="shared" si="1"/>
        <v>336746886</v>
      </c>
      <c r="AA43" s="189">
        <f t="shared" si="1"/>
        <v>291158662</v>
      </c>
    </row>
    <row r="44" spans="1:27" ht="21.75" customHeight="1" x14ac:dyDescent="0.25">
      <c r="A44" s="175" t="s">
        <v>279</v>
      </c>
      <c r="B44" s="180" t="s">
        <v>507</v>
      </c>
      <c r="C44" s="193"/>
      <c r="D44" s="189">
        <f>+Y29-Y32-Y35-Y37-Y42</f>
        <v>985520</v>
      </c>
      <c r="E44" s="189">
        <f>+Z29-Z32-Z35-Z37-Z42</f>
        <v>3284062</v>
      </c>
      <c r="F44" s="189">
        <v>3284062</v>
      </c>
      <c r="G44" s="189"/>
      <c r="H44" s="189"/>
      <c r="I44" s="189"/>
      <c r="J44" s="189"/>
      <c r="K44" s="189"/>
      <c r="L44" s="189"/>
      <c r="M44" s="189"/>
      <c r="N44" s="189"/>
      <c r="O44" s="189"/>
      <c r="P44" s="189"/>
      <c r="Q44" s="189"/>
      <c r="R44" s="189"/>
      <c r="S44" s="189"/>
      <c r="T44" s="189"/>
      <c r="U44" s="189"/>
      <c r="V44" s="189"/>
      <c r="W44" s="189"/>
      <c r="X44" s="189"/>
      <c r="Y44" s="189">
        <f t="shared" si="0"/>
        <v>985520</v>
      </c>
      <c r="Z44" s="189">
        <f t="shared" si="1"/>
        <v>3284062</v>
      </c>
      <c r="AA44" s="189">
        <f t="shared" si="1"/>
        <v>3284062</v>
      </c>
    </row>
    <row r="45" spans="1:27" ht="21.75" customHeight="1" x14ac:dyDescent="0.25">
      <c r="A45" s="175" t="s">
        <v>280</v>
      </c>
      <c r="B45" s="90" t="s">
        <v>542</v>
      </c>
      <c r="C45" s="193"/>
      <c r="D45" s="189"/>
      <c r="E45" s="189"/>
      <c r="F45" s="189"/>
      <c r="G45" s="189"/>
      <c r="H45" s="189"/>
      <c r="I45" s="189"/>
      <c r="J45" s="189"/>
      <c r="K45" s="189"/>
      <c r="L45" s="189"/>
      <c r="M45" s="189"/>
      <c r="N45" s="189"/>
      <c r="O45" s="189"/>
      <c r="P45" s="189"/>
      <c r="Q45" s="189"/>
      <c r="R45" s="189"/>
      <c r="S45" s="189"/>
      <c r="T45" s="189"/>
      <c r="U45" s="189"/>
      <c r="V45" s="189"/>
      <c r="W45" s="189"/>
      <c r="X45" s="189"/>
      <c r="Y45" s="189">
        <f t="shared" si="0"/>
        <v>0</v>
      </c>
      <c r="Z45" s="189">
        <f t="shared" si="1"/>
        <v>0</v>
      </c>
      <c r="AA45" s="189">
        <f t="shared" si="1"/>
        <v>0</v>
      </c>
    </row>
    <row r="46" spans="1:27" ht="21.75" customHeight="1" x14ac:dyDescent="0.25">
      <c r="A46" s="175" t="s">
        <v>281</v>
      </c>
      <c r="B46" s="90" t="s">
        <v>741</v>
      </c>
      <c r="C46" s="193"/>
      <c r="D46" s="189"/>
      <c r="E46" s="189"/>
      <c r="F46" s="189"/>
      <c r="G46" s="189"/>
      <c r="H46" s="189"/>
      <c r="I46" s="189"/>
      <c r="J46" s="189"/>
      <c r="K46" s="189"/>
      <c r="L46" s="189"/>
      <c r="M46" s="189"/>
      <c r="N46" s="189"/>
      <c r="O46" s="189"/>
      <c r="P46" s="189"/>
      <c r="Q46" s="189"/>
      <c r="R46" s="189"/>
      <c r="S46" s="189"/>
      <c r="T46" s="189"/>
      <c r="U46" s="189"/>
      <c r="V46" s="189"/>
      <c r="W46" s="189"/>
      <c r="X46" s="189"/>
      <c r="Y46" s="189">
        <f t="shared" si="0"/>
        <v>0</v>
      </c>
      <c r="Z46" s="189">
        <f t="shared" si="1"/>
        <v>0</v>
      </c>
      <c r="AA46" s="189">
        <f t="shared" si="1"/>
        <v>0</v>
      </c>
    </row>
    <row r="47" spans="1:27" s="115" customFormat="1" ht="21.75" customHeight="1" x14ac:dyDescent="0.25">
      <c r="A47" s="175" t="s">
        <v>282</v>
      </c>
      <c r="B47" s="178" t="s">
        <v>109</v>
      </c>
      <c r="C47" s="192"/>
      <c r="D47" s="191">
        <f>+D31+D33+D34+D36+D41+D43</f>
        <v>320463721</v>
      </c>
      <c r="E47" s="191">
        <f t="shared" ref="E47:AA47" si="10">+E31+E33+E34+E36+E41+E43</f>
        <v>342393014</v>
      </c>
      <c r="F47" s="191">
        <f t="shared" si="10"/>
        <v>296804790</v>
      </c>
      <c r="G47" s="191">
        <f t="shared" si="10"/>
        <v>20</v>
      </c>
      <c r="H47" s="191">
        <f t="shared" si="10"/>
        <v>254857</v>
      </c>
      <c r="I47" s="191">
        <f t="shared" si="10"/>
        <v>254857</v>
      </c>
      <c r="J47" s="191">
        <f t="shared" si="10"/>
        <v>0</v>
      </c>
      <c r="K47" s="191">
        <f t="shared" si="10"/>
        <v>783</v>
      </c>
      <c r="L47" s="191">
        <f t="shared" si="10"/>
        <v>783</v>
      </c>
      <c r="M47" s="191">
        <f t="shared" si="10"/>
        <v>0</v>
      </c>
      <c r="N47" s="191">
        <f t="shared" si="10"/>
        <v>0</v>
      </c>
      <c r="O47" s="191">
        <f t="shared" si="10"/>
        <v>0</v>
      </c>
      <c r="P47" s="191">
        <f t="shared" si="10"/>
        <v>0</v>
      </c>
      <c r="Q47" s="191">
        <f t="shared" si="10"/>
        <v>0</v>
      </c>
      <c r="R47" s="191">
        <f t="shared" si="10"/>
        <v>0</v>
      </c>
      <c r="S47" s="191">
        <f t="shared" si="10"/>
        <v>0</v>
      </c>
      <c r="T47" s="191">
        <f t="shared" si="10"/>
        <v>0</v>
      </c>
      <c r="U47" s="191">
        <f t="shared" si="10"/>
        <v>0</v>
      </c>
      <c r="V47" s="191">
        <f t="shared" si="10"/>
        <v>0</v>
      </c>
      <c r="W47" s="191">
        <f t="shared" si="10"/>
        <v>0</v>
      </c>
      <c r="X47" s="191">
        <f t="shared" si="10"/>
        <v>0</v>
      </c>
      <c r="Y47" s="191">
        <f t="shared" si="10"/>
        <v>320463741</v>
      </c>
      <c r="Z47" s="191">
        <f t="shared" si="10"/>
        <v>342648654</v>
      </c>
      <c r="AA47" s="191">
        <f t="shared" si="10"/>
        <v>297060430</v>
      </c>
    </row>
    <row r="48" spans="1:27" s="115" customFormat="1" ht="21.75" customHeight="1" x14ac:dyDescent="0.25">
      <c r="A48" s="175" t="s">
        <v>283</v>
      </c>
      <c r="B48" s="178" t="s">
        <v>110</v>
      </c>
      <c r="C48" s="192"/>
      <c r="D48" s="191">
        <f>+D32+D35+D37+D42+D429+D45+D44</f>
        <v>985520</v>
      </c>
      <c r="E48" s="191">
        <f t="shared" ref="E48:AA48" si="11">+E32+E35+E37+E42+E429+E45+E44</f>
        <v>3284062</v>
      </c>
      <c r="F48" s="191">
        <f t="shared" si="11"/>
        <v>3284062</v>
      </c>
      <c r="G48" s="191">
        <f t="shared" si="11"/>
        <v>0</v>
      </c>
      <c r="H48" s="191">
        <f t="shared" si="11"/>
        <v>0</v>
      </c>
      <c r="I48" s="191">
        <f t="shared" si="11"/>
        <v>0</v>
      </c>
      <c r="J48" s="191">
        <f t="shared" si="11"/>
        <v>0</v>
      </c>
      <c r="K48" s="191">
        <f t="shared" si="11"/>
        <v>0</v>
      </c>
      <c r="L48" s="191">
        <f t="shared" si="11"/>
        <v>0</v>
      </c>
      <c r="M48" s="191">
        <f t="shared" si="11"/>
        <v>0</v>
      </c>
      <c r="N48" s="191">
        <f t="shared" si="11"/>
        <v>0</v>
      </c>
      <c r="O48" s="191">
        <f t="shared" si="11"/>
        <v>0</v>
      </c>
      <c r="P48" s="191">
        <f t="shared" si="11"/>
        <v>0</v>
      </c>
      <c r="Q48" s="191">
        <f t="shared" si="11"/>
        <v>0</v>
      </c>
      <c r="R48" s="191">
        <f t="shared" si="11"/>
        <v>0</v>
      </c>
      <c r="S48" s="191">
        <f t="shared" si="11"/>
        <v>0</v>
      </c>
      <c r="T48" s="191">
        <f t="shared" si="11"/>
        <v>0</v>
      </c>
      <c r="U48" s="191">
        <f t="shared" si="11"/>
        <v>0</v>
      </c>
      <c r="V48" s="191">
        <f t="shared" si="11"/>
        <v>0</v>
      </c>
      <c r="W48" s="191">
        <f t="shared" si="11"/>
        <v>0</v>
      </c>
      <c r="X48" s="191">
        <f t="shared" si="11"/>
        <v>0</v>
      </c>
      <c r="Y48" s="191">
        <f t="shared" si="11"/>
        <v>985520</v>
      </c>
      <c r="Z48" s="191">
        <f t="shared" si="11"/>
        <v>3284062</v>
      </c>
      <c r="AA48" s="191">
        <f t="shared" si="11"/>
        <v>3284062</v>
      </c>
    </row>
    <row r="49" spans="1:27" s="115" customFormat="1" ht="21.75" customHeight="1" x14ac:dyDescent="0.25">
      <c r="A49" s="175" t="s">
        <v>284</v>
      </c>
      <c r="B49" s="178" t="s">
        <v>329</v>
      </c>
      <c r="C49" s="192"/>
      <c r="D49" s="191">
        <f>+D47+D48</f>
        <v>321449241</v>
      </c>
      <c r="E49" s="191">
        <f t="shared" ref="E49:AA49" si="12">+E47+E48</f>
        <v>345677076</v>
      </c>
      <c r="F49" s="191">
        <f t="shared" si="12"/>
        <v>300088852</v>
      </c>
      <c r="G49" s="191">
        <f t="shared" si="12"/>
        <v>20</v>
      </c>
      <c r="H49" s="191">
        <f t="shared" si="12"/>
        <v>254857</v>
      </c>
      <c r="I49" s="191">
        <f t="shared" si="12"/>
        <v>254857</v>
      </c>
      <c r="J49" s="191">
        <f t="shared" si="12"/>
        <v>0</v>
      </c>
      <c r="K49" s="191">
        <f t="shared" si="12"/>
        <v>783</v>
      </c>
      <c r="L49" s="191">
        <f t="shared" si="12"/>
        <v>783</v>
      </c>
      <c r="M49" s="191">
        <f t="shared" si="12"/>
        <v>0</v>
      </c>
      <c r="N49" s="191">
        <f t="shared" si="12"/>
        <v>0</v>
      </c>
      <c r="O49" s="191">
        <f t="shared" si="12"/>
        <v>0</v>
      </c>
      <c r="P49" s="191">
        <f t="shared" si="12"/>
        <v>0</v>
      </c>
      <c r="Q49" s="191">
        <f t="shared" si="12"/>
        <v>0</v>
      </c>
      <c r="R49" s="191">
        <f t="shared" si="12"/>
        <v>0</v>
      </c>
      <c r="S49" s="191">
        <f t="shared" si="12"/>
        <v>0</v>
      </c>
      <c r="T49" s="191">
        <f t="shared" si="12"/>
        <v>0</v>
      </c>
      <c r="U49" s="191">
        <f t="shared" si="12"/>
        <v>0</v>
      </c>
      <c r="V49" s="191">
        <f t="shared" si="12"/>
        <v>0</v>
      </c>
      <c r="W49" s="191">
        <f t="shared" si="12"/>
        <v>0</v>
      </c>
      <c r="X49" s="191">
        <f t="shared" si="12"/>
        <v>0</v>
      </c>
      <c r="Y49" s="191">
        <f t="shared" si="12"/>
        <v>321449261</v>
      </c>
      <c r="Z49" s="191">
        <f t="shared" si="12"/>
        <v>345932716</v>
      </c>
      <c r="AA49" s="191">
        <f t="shared" si="12"/>
        <v>300344492</v>
      </c>
    </row>
    <row r="50" spans="1:27" s="766" customFormat="1" ht="21.75" customHeight="1" x14ac:dyDescent="0.25">
      <c r="A50" s="761" t="s">
        <v>285</v>
      </c>
      <c r="B50" s="296" t="s">
        <v>2075</v>
      </c>
      <c r="C50" s="765"/>
      <c r="D50" s="763"/>
      <c r="E50" s="763"/>
      <c r="F50" s="763"/>
      <c r="G50" s="763">
        <v>30</v>
      </c>
      <c r="H50" s="763">
        <v>30</v>
      </c>
      <c r="I50" s="763">
        <v>29.7</v>
      </c>
      <c r="J50" s="763">
        <v>16</v>
      </c>
      <c r="K50" s="763">
        <v>16</v>
      </c>
      <c r="L50" s="763">
        <v>13</v>
      </c>
      <c r="M50" s="763"/>
      <c r="N50" s="763"/>
      <c r="O50" s="763"/>
      <c r="P50" s="763"/>
      <c r="Q50" s="763"/>
      <c r="R50" s="763"/>
      <c r="S50" s="763"/>
      <c r="T50" s="763"/>
      <c r="U50" s="763"/>
      <c r="V50" s="763">
        <v>0</v>
      </c>
      <c r="W50" s="763"/>
      <c r="X50" s="763"/>
      <c r="Y50" s="763">
        <f t="shared" si="0"/>
        <v>46</v>
      </c>
      <c r="Z50" s="763">
        <f t="shared" si="1"/>
        <v>46</v>
      </c>
      <c r="AA50" s="763">
        <f t="shared" si="1"/>
        <v>42.7</v>
      </c>
    </row>
    <row r="51" spans="1:27" ht="21.75" customHeight="1" x14ac:dyDescent="0.25">
      <c r="A51" s="175" t="s">
        <v>286</v>
      </c>
      <c r="B51" s="46" t="s">
        <v>964</v>
      </c>
      <c r="C51" s="190"/>
      <c r="D51" s="189"/>
      <c r="E51" s="189"/>
      <c r="F51" s="189"/>
      <c r="G51" s="173"/>
      <c r="H51" s="173"/>
      <c r="I51" s="173"/>
      <c r="J51" s="173"/>
      <c r="K51" s="173"/>
      <c r="L51" s="173"/>
      <c r="M51" s="173"/>
      <c r="N51" s="173"/>
      <c r="O51" s="173"/>
      <c r="P51" s="173"/>
      <c r="Q51" s="173"/>
      <c r="R51" s="173"/>
      <c r="S51" s="173"/>
      <c r="T51" s="173"/>
      <c r="U51" s="173"/>
      <c r="V51" s="189"/>
      <c r="W51" s="189"/>
      <c r="X51" s="189"/>
      <c r="Y51" s="189">
        <f t="shared" si="0"/>
        <v>0</v>
      </c>
      <c r="Z51" s="189">
        <f t="shared" si="1"/>
        <v>0</v>
      </c>
      <c r="AA51" s="189"/>
    </row>
  </sheetData>
  <mergeCells count="31">
    <mergeCell ref="D2:I2"/>
    <mergeCell ref="J2:O2"/>
    <mergeCell ref="P2:U2"/>
    <mergeCell ref="V2:AA2"/>
    <mergeCell ref="G4:I4"/>
    <mergeCell ref="J4:L4"/>
    <mergeCell ref="M4:O4"/>
    <mergeCell ref="P4:R4"/>
    <mergeCell ref="S4:U4"/>
    <mergeCell ref="V4:X4"/>
    <mergeCell ref="Y4:AA7"/>
    <mergeCell ref="D4:F4"/>
    <mergeCell ref="M6:O7"/>
    <mergeCell ref="P6:R7"/>
    <mergeCell ref="S6:U7"/>
    <mergeCell ref="V6:X7"/>
    <mergeCell ref="S5:U5"/>
    <mergeCell ref="V5:X5"/>
    <mergeCell ref="D6:F7"/>
    <mergeCell ref="G6:I7"/>
    <mergeCell ref="J6:L7"/>
    <mergeCell ref="D5:F5"/>
    <mergeCell ref="G5:I5"/>
    <mergeCell ref="J5:L5"/>
    <mergeCell ref="M5:O5"/>
    <mergeCell ref="P5:R5"/>
    <mergeCell ref="B4:C4"/>
    <mergeCell ref="B5:C5"/>
    <mergeCell ref="B6:C6"/>
    <mergeCell ref="A3:C3"/>
    <mergeCell ref="A4:A7"/>
  </mergeCells>
  <phoneticPr fontId="44" type="noConversion"/>
  <printOptions horizontalCentered="1" verticalCentered="1"/>
  <pageMargins left="0.31496062992125984" right="0.31496062992125984" top="0.15748031496062992" bottom="0.15748031496062992" header="0.31496062992125984" footer="0.31496062992125984"/>
  <pageSetup paperSize="9" scale="34" orientation="portrait" r:id="rId1"/>
  <headerFooter>
    <oddHeader>&amp;C2022. évi zárszámadás&amp;R&amp;A</oddHeader>
    <oddFooter>&amp;C&amp;P/&amp;N</oddFooter>
  </headerFooter>
  <colBreaks count="3" manualBreakCount="3">
    <brk id="9" max="50" man="1"/>
    <brk id="15" max="50" man="1"/>
    <brk id="21" max="5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sheetPr>
  <dimension ref="A1:EA59"/>
  <sheetViews>
    <sheetView view="pageBreakPreview" topLeftCell="A28" zoomScale="71" zoomScaleNormal="71" zoomScaleSheetLayoutView="71" workbookViewId="0">
      <selection activeCell="O50" sqref="O50"/>
    </sheetView>
  </sheetViews>
  <sheetFormatPr defaultColWidth="9.140625" defaultRowHeight="15.75" x14ac:dyDescent="0.25"/>
  <cols>
    <col min="1" max="1" width="7" style="19" customWidth="1"/>
    <col min="2" max="2" width="65.7109375" style="19" customWidth="1"/>
    <col min="3" max="3" width="7.85546875" style="19" customWidth="1"/>
    <col min="4" max="4" width="17.5703125" style="4" customWidth="1"/>
    <col min="5" max="5" width="18.7109375" style="4" customWidth="1"/>
    <col min="6" max="6" width="17.140625" style="4" customWidth="1"/>
    <col min="7" max="7" width="16.42578125" style="4" customWidth="1"/>
    <col min="8" max="8" width="18.28515625" style="4" customWidth="1"/>
    <col min="9" max="9" width="15.85546875" style="4" customWidth="1"/>
    <col min="10" max="10" width="17.42578125" style="4" customWidth="1"/>
    <col min="11" max="12" width="17.85546875" style="4" customWidth="1"/>
    <col min="13" max="13" width="17.28515625" style="4" customWidth="1"/>
    <col min="14" max="15" width="18.28515625" style="19" customWidth="1"/>
    <col min="16" max="16" width="17.42578125" style="19" bestFit="1" customWidth="1"/>
    <col min="17" max="17" width="11.42578125" style="19" bestFit="1" customWidth="1"/>
    <col min="18" max="19" width="9.140625" style="19"/>
    <col min="20" max="20" width="13.5703125" style="19" bestFit="1" customWidth="1"/>
    <col min="21" max="21" width="13.28515625" style="19" bestFit="1" customWidth="1"/>
    <col min="22" max="16384" width="9.140625" style="19"/>
  </cols>
  <sheetData>
    <row r="1" spans="1:131" x14ac:dyDescent="0.25">
      <c r="A1" s="163"/>
      <c r="B1" s="163"/>
      <c r="C1" s="163"/>
      <c r="F1" s="36" t="s">
        <v>415</v>
      </c>
      <c r="I1" s="36" t="s">
        <v>415</v>
      </c>
      <c r="L1" s="36" t="s">
        <v>415</v>
      </c>
      <c r="O1" s="36" t="s">
        <v>415</v>
      </c>
    </row>
    <row r="2" spans="1:131" ht="25.5" customHeight="1" x14ac:dyDescent="0.2">
      <c r="A2" s="1028" t="s">
        <v>255</v>
      </c>
      <c r="B2" s="1029"/>
      <c r="C2" s="1030"/>
      <c r="D2" s="1105" t="s">
        <v>146</v>
      </c>
      <c r="E2" s="1106"/>
      <c r="F2" s="1106"/>
      <c r="G2" s="1105" t="s">
        <v>146</v>
      </c>
      <c r="H2" s="1106"/>
      <c r="I2" s="1106"/>
      <c r="J2" s="1105" t="s">
        <v>146</v>
      </c>
      <c r="K2" s="1106"/>
      <c r="L2" s="1106"/>
      <c r="M2" s="1105" t="s">
        <v>146</v>
      </c>
      <c r="N2" s="1106"/>
      <c r="O2" s="1106"/>
    </row>
    <row r="3" spans="1:131" ht="25.5" customHeight="1" x14ac:dyDescent="0.2">
      <c r="A3" s="1031"/>
      <c r="B3" s="1032"/>
      <c r="C3" s="1033"/>
      <c r="D3" s="1107"/>
      <c r="E3" s="1108"/>
      <c r="F3" s="1108"/>
      <c r="G3" s="1107"/>
      <c r="H3" s="1108"/>
      <c r="I3" s="1108"/>
      <c r="J3" s="1107"/>
      <c r="K3" s="1108"/>
      <c r="L3" s="1108"/>
      <c r="M3" s="1107"/>
      <c r="N3" s="1108"/>
      <c r="O3" s="1108"/>
    </row>
    <row r="4" spans="1:131" ht="33.75" customHeight="1" x14ac:dyDescent="0.2">
      <c r="A4" s="1034" t="s">
        <v>189</v>
      </c>
      <c r="B4" s="1035" t="s">
        <v>247</v>
      </c>
      <c r="C4" s="1035"/>
      <c r="D4" s="609" t="s">
        <v>274</v>
      </c>
      <c r="E4" s="609" t="s">
        <v>1074</v>
      </c>
      <c r="F4" s="609" t="s">
        <v>1546</v>
      </c>
      <c r="G4" s="609" t="s">
        <v>274</v>
      </c>
      <c r="H4" s="609" t="s">
        <v>1074</v>
      </c>
      <c r="I4" s="609" t="s">
        <v>1546</v>
      </c>
      <c r="J4" s="609" t="s">
        <v>274</v>
      </c>
      <c r="K4" s="609" t="s">
        <v>1074</v>
      </c>
      <c r="L4" s="609" t="s">
        <v>1546</v>
      </c>
      <c r="M4" s="609" t="s">
        <v>274</v>
      </c>
      <c r="N4" s="609" t="s">
        <v>1074</v>
      </c>
      <c r="O4" s="609" t="s">
        <v>1546</v>
      </c>
    </row>
    <row r="5" spans="1:131" ht="21.75" customHeight="1" x14ac:dyDescent="0.2">
      <c r="A5" s="1034"/>
      <c r="B5" s="1035" t="s">
        <v>11</v>
      </c>
      <c r="C5" s="1035"/>
      <c r="D5" s="1096" t="s">
        <v>225</v>
      </c>
      <c r="E5" s="1097"/>
      <c r="F5" s="1098"/>
      <c r="G5" s="1096" t="s">
        <v>327</v>
      </c>
      <c r="H5" s="1097"/>
      <c r="I5" s="1098"/>
      <c r="J5" s="1096" t="s">
        <v>227</v>
      </c>
      <c r="K5" s="1097"/>
      <c r="L5" s="1098"/>
      <c r="M5" s="1096" t="s">
        <v>246</v>
      </c>
      <c r="N5" s="1097"/>
      <c r="O5" s="1098"/>
    </row>
    <row r="6" spans="1:131" ht="21.75" customHeight="1" x14ac:dyDescent="0.2">
      <c r="A6" s="1034"/>
      <c r="B6" s="992" t="s">
        <v>646</v>
      </c>
      <c r="C6" s="992"/>
      <c r="D6" s="1099"/>
      <c r="E6" s="1100"/>
      <c r="F6" s="1101"/>
      <c r="G6" s="1099"/>
      <c r="H6" s="1100"/>
      <c r="I6" s="1101"/>
      <c r="J6" s="1099"/>
      <c r="K6" s="1100"/>
      <c r="L6" s="1101"/>
      <c r="M6" s="1099"/>
      <c r="N6" s="1100"/>
      <c r="O6" s="1101"/>
    </row>
    <row r="7" spans="1:131" ht="36.75" customHeight="1" x14ac:dyDescent="0.2">
      <c r="A7" s="1034"/>
      <c r="B7" s="684" t="s">
        <v>190</v>
      </c>
      <c r="C7" s="126" t="s">
        <v>248</v>
      </c>
      <c r="D7" s="1102"/>
      <c r="E7" s="1103"/>
      <c r="F7" s="1104"/>
      <c r="G7" s="1102"/>
      <c r="H7" s="1103"/>
      <c r="I7" s="1104"/>
      <c r="J7" s="1102"/>
      <c r="K7" s="1103"/>
      <c r="L7" s="1104"/>
      <c r="M7" s="1102"/>
      <c r="N7" s="1103"/>
      <c r="O7" s="1104"/>
    </row>
    <row r="8" spans="1:131" x14ac:dyDescent="0.2">
      <c r="A8" s="23" t="s">
        <v>191</v>
      </c>
      <c r="B8" s="24" t="s">
        <v>192</v>
      </c>
      <c r="C8" s="24" t="s">
        <v>193</v>
      </c>
      <c r="D8" s="24" t="s">
        <v>194</v>
      </c>
      <c r="E8" s="24" t="s">
        <v>195</v>
      </c>
      <c r="F8" s="24" t="s">
        <v>196</v>
      </c>
      <c r="G8" s="24" t="s">
        <v>197</v>
      </c>
      <c r="H8" s="24" t="s">
        <v>198</v>
      </c>
      <c r="I8" s="24" t="s">
        <v>199</v>
      </c>
      <c r="J8" s="24" t="s">
        <v>200</v>
      </c>
      <c r="K8" s="24" t="s">
        <v>201</v>
      </c>
      <c r="L8" s="24" t="s">
        <v>228</v>
      </c>
      <c r="M8" s="24" t="s">
        <v>229</v>
      </c>
      <c r="N8" s="24" t="s">
        <v>230</v>
      </c>
      <c r="O8" s="24" t="s">
        <v>231</v>
      </c>
    </row>
    <row r="9" spans="1:131" ht="23.25" customHeight="1" x14ac:dyDescent="0.25">
      <c r="A9" s="25" t="s">
        <v>191</v>
      </c>
      <c r="B9" s="22" t="s">
        <v>330</v>
      </c>
      <c r="C9" s="26" t="s">
        <v>202</v>
      </c>
      <c r="D9" s="6">
        <f>SUMIFS('2.1. sz. PMH'!D9:AL9,'2.1. sz. PMH'!$D$5:$AL$5,"kötelező",'2.1. sz. PMH'!$D$3:$AL$3,"Eredeti előirányzat")+SUMIFS('2.2. sz. Hétszínvirág Óvoda'!D9:Z9,'2.2. sz. Hétszínvirág Óvoda'!$D$5:$Z$5,"kötelező",'2.2. sz. Hétszínvirág Óvoda'!$D$3:$Z$3,"Eredeti előirányzat")+SUMIFS('2.3. sz. Mese Óvoda'!D9:T9,'2.3. sz. Mese Óvoda'!$D$5:$T$5,"kötelező",'2.3. sz. Mese Óvoda'!$D$3:$T$3,"Eredeti előirányzat")+SUMIFS('2.4. sz. Bölcsőde'!D9:Q9,'2.4. sz. Bölcsőde'!$D$5:$Q$5,"kötelező",'2.4. sz. Bölcsőde'!$D$3:$Q$3,"Eredeti előirányzat")+SUMIFS('2.5. sz. Gyermekjóléti'!D9:W9,'2.5. sz. Gyermekjóléti'!$D$5:$W$5,"kötelező",'2.5. sz. Gyermekjóléti'!$D$3:$W$3,"Eredeti előirányzat")+SUMIFS('2.6 sz. Területi'!D9:BG9,'2.6 sz. Területi'!$D$5:$BG$5,"kötelező",'2.6 sz. Területi'!$D$3:$BG$3,"Eredeti előirányzat")+SUMIFS('2.7. sz. Könyvtár'!D9:Z9,'2.7. sz. Könyvtár'!$D$5:$Z$5,"kötelező",'2.7. sz. Könyvtár'!$D$3:$Z$3,"Eredeti előirányzat")+SUMIFS('2.8. sz. Műv.Ház'!D9:Z9,'2.8. sz. Műv.Ház'!$D$5:$Z$5,"kötelező",'2.8. sz. Műv.Ház'!$D$3:$Z$3,"Eredeti előirányzat")+SUMIFS('2.9. sz. Szivárvány Ó.'!D9:W9,'2.9. sz. Szivárvány Ó.'!$D$5:$W$5,"kötelező",'2.9. sz. Szivárvány Ó.'!$D$3:$W$3,"Eredeti előirányzat")</f>
        <v>2147176205</v>
      </c>
      <c r="E9" s="6">
        <f>+'2.1. sz. PMH'!E9+'2.1. sz. PMH'!H9+'2.1. sz. PMH'!W9+'2.1. sz. PMH'!AL9+'2.2. sz. Hétszínvirág Óvoda'!E9+'2.2. sz. Hétszínvirág Óvoda'!H9+'2.2. sz. Hétszínvirág Óvoda'!K9+'2.2. sz. Hétszínvirág Óvoda'!N9+'2.2. sz. Hétszínvirág Óvoda'!Q9+'2.2. sz. Hétszínvirág Óvoda'!T9+'2.2. sz. Hétszínvirág Óvoda'!W9+'2.2. sz. Hétszínvirág Óvoda'!Z9+'2.3. sz. Mese Óvoda'!E9+'2.3. sz. Mese Óvoda'!H9+'2.3. sz. Mese Óvoda'!K9+'2.3. sz. Mese Óvoda'!N9+'2.3. sz. Mese Óvoda'!Q9+'2.3. sz. Mese Óvoda'!T9+'2.4. sz. Bölcsőde'!E9+'2.4. sz. Bölcsőde'!H9+'2.4. sz. Bölcsőde'!K9+'2.4. sz. Bölcsőde'!N9+'2.4. sz. Bölcsőde'!Q9+'2.5. sz. Gyermekjóléti'!E9+'2.5. sz. Gyermekjóléti'!H9+'2.5. sz. Gyermekjóléti'!K9+'2.5. sz. Gyermekjóléti'!N9+'2.5. sz. Gyermekjóléti'!Q9+'2.5. sz. Gyermekjóléti'!T9+'2.5. sz. Gyermekjóléti'!W9+'2.6 sz. Területi'!E9+'2.6 sz. Területi'!H9+'2.6 sz. Területi'!K9+'2.6 sz. Területi'!T9+'2.6 sz. Területi'!W9+'2.6 sz. Területi'!AI9+'2.6 sz. Területi'!AL9+'2.6 sz. Területi'!AO9+'2.6 sz. Területi'!AR9+'2.6 sz. Területi'!AU9+'2.6 sz. Területi'!AX9+'2.6 sz. Területi'!BA9+'2.6 sz. Területi'!BD9+'2.6 sz. Területi'!BG9+'2.7. sz. Könyvtár'!E9+'2.7. sz. Könyvtár'!H9+'2.7. sz. Könyvtár'!K9+'2.7. sz. Könyvtár'!N9+'2.7. sz. Könyvtár'!Q9+'2.7. sz. Könyvtár'!T9+'2.7. sz. Könyvtár'!W9+'2.7. sz. Könyvtár'!Z9+'2.8. sz. Műv.Ház'!E9+'2.8. sz. Műv.Ház'!H9+'2.8. sz. Műv.Ház'!K9+'2.8. sz. Műv.Ház'!Q9+'2.8. sz. Műv.Ház'!T9+'2.8. sz. Műv.Ház'!W9+'2.8. sz. Műv.Ház'!Z9+'2.9. sz. Szivárvány Ó.'!E9+'2.9. sz. Szivárvány Ó.'!H9+'2.9. sz. Szivárvány Ó.'!K9+'2.9. sz. Szivárvány Ó.'!N9+'2.9. sz. Szivárvány Ó.'!Q9+'2.9. sz. Szivárvány Ó.'!T9+'2.9. sz. Szivárvány Ó.'!W9</f>
        <v>2224840163</v>
      </c>
      <c r="F9" s="6">
        <f>+'2.1. sz. PMH'!AQ9+'2.2. sz. Hétszínvirág Óvoda'!AD9+'2.3. sz. Mese Óvoda'!X9+'2.4. sz. Bölcsőde'!U9+'2.5. sz. Gyermekjóléti'!AA9+'2.6 sz. Területi'!BL9+'2.7. sz. Könyvtár'!AD9+'2.8. sz. Műv.Ház'!AE9+'2.9. sz. Szivárvány Ó.'!AA9</f>
        <v>1961166231</v>
      </c>
      <c r="G9" s="6">
        <f>SUMIFS('2.1. sz. PMH'!D9:AL9,'2.1. sz. PMH'!$D$5:$AL$5,"önként vállalt",'2.1. sz. PMH'!$D$3:$AL$3,"Eredeti előirányzat")+SUMIFS('2.2. sz. Hétszínvirág Óvoda'!D9:Z9,'2.2. sz. Hétszínvirág Óvoda'!$D$5:$Z$5,"önként vállalt",'2.2. sz. Hétszínvirág Óvoda'!$D$3:$Z$3,"Eredeti előirányzat")+SUMIFS('2.3. sz. Mese Óvoda'!D9:T9,'2.3. sz. Mese Óvoda'!$D$5:$T$5,"önként vállalt",'2.3. sz. Mese Óvoda'!$D$3:$T$3,"Eredeti előirányzat")+SUMIFS('2.4. sz. Bölcsőde'!D9:Q9,'2.4. sz. Bölcsőde'!$D$5:$Q$5,"önként vállalt",'2.4. sz. Bölcsőde'!$D$3:$Q$3,"Eredeti előirányzat")+SUMIFS('2.5. sz. Gyermekjóléti'!D9:W9,'2.5. sz. Gyermekjóléti'!$D$5:$W$5,"önként vállalt",'2.5. sz. Gyermekjóléti'!$D$3:$W$3,"Eredeti előirányzat")+SUMIFS('2.6 sz. Területi'!D9:BG9,'2.6 sz. Területi'!$D$5:$BG$5,"önként vállalt",'2.6 sz. Területi'!$D$3:$BG$3,"Eredeti előirányzat")+SUMIFS('2.7. sz. Könyvtár'!D9:Z9,'2.7. sz. Könyvtár'!$D$5:$Z$5,"önként vállalt",'2.7. sz. Könyvtár'!$D$3:$Z$3,"Eredeti előirányzat")+SUMIFS('2.8. sz. Műv.Ház'!D9:Z9,'2.8. sz. Műv.Ház'!$D$5:$Z$5,"önként vállalt",'2.8. sz. Műv.Ház'!$D$3:$Z$3,"Eredeti előirányzat")+SUMIFS('2.9. sz. Szivárvány Ó.'!D9:W9,'2.9. sz. Szivárvány Ó.'!$D$5:$W$5,"önként vállalt",'2.9. sz. Szivárvány Ó.'!$D$3:$W$3,"Eredeti előirányzat")</f>
        <v>70823772</v>
      </c>
      <c r="H9" s="6">
        <f>+'2.6 sz. Területi'!N9+'2.6 sz. Területi'!Q9+'2.6 sz. Területi'!Z9+'2.6 sz. Területi'!AC9+'2.6 sz. Területi'!AF9+'2.8. sz. Műv.Ház'!N9</f>
        <v>74912922</v>
      </c>
      <c r="I9" s="6">
        <f>+'2.6 sz. Területi'!BM9+'2.8. sz. Műv.Ház'!AF9</f>
        <v>65946620</v>
      </c>
      <c r="J9" s="6">
        <f>SUMIFS('2.1. sz. PMH'!D9:AL9,'2.1. sz. PMH'!$D$5:$AL$5,"államigazgatási",'2.1. sz. PMH'!$D$3:$AL$3,"Eredeti előirányzat")+SUMIFS('2.2. sz. Hétszínvirág Óvoda'!D9:Z9,'2.2. sz. Hétszínvirág Óvoda'!$D$5:$Z$5,"államigazgatási",'2.2. sz. Hétszínvirág Óvoda'!$D$3:$Z$3,"Eredeti előirányzat")+SUMIFS('2.3. sz. Mese Óvoda'!D9:T9,'2.3. sz. Mese Óvoda'!$D$5:$T$5,"államigazgatási",'2.3. sz. Mese Óvoda'!$D$3:$T$3,"Eredeti előirányzat")+SUMIFS('2.4. sz. Bölcsőde'!D9:Q9,'2.4. sz. Bölcsőde'!$D$5:$Q$5,"államigazgatási",'2.4. sz. Bölcsőde'!$D$3:$Q$3,"Eredeti előirányzat")+SUMIFS('2.5. sz. Gyermekjóléti'!D9:W9,'2.5. sz. Gyermekjóléti'!$D$5:$W$5,"államigazgatási",'2.5. sz. Gyermekjóléti'!$D$3:$W$3,"Eredeti előirányzat")+SUMIFS('2.6 sz. Területi'!D9:BG9,'2.6 sz. Területi'!$D$5:$BG$5,"államigazgatási",'2.6 sz. Területi'!$D$3:$BG$3,"Eredeti előirányzat")+SUMIFS('2.7. sz. Könyvtár'!D9:Z9,'2.7. sz. Könyvtár'!$D$5:$Z$5,"államigazgatási",'2.7. sz. Könyvtár'!$D$3:$Z$3,"Eredeti előirányzat")+SUMIFS('2.8. sz. Műv.Ház'!D9:Z9,'2.8. sz. Műv.Ház'!$D$5:$Z$5,"államigazgatási",'2.8. sz. Műv.Ház'!$D$3:$Z$3,"Eredeti előirányzat")+SUMIFS('2.9. sz. Szivárvány Ó.'!D9:W9,'2.9. sz. Szivárvány Ó.'!$D$5:$W$5,"államigazgatási",'2.9. sz. Szivárvány Ó.'!$D$3:$W$3,"Eredeti előirányzat")</f>
        <v>79297519</v>
      </c>
      <c r="K9" s="6">
        <f>+'2.1. sz. PMH'!K9+'2.1. sz. PMH'!N9+'2.1. sz. PMH'!Q9+'2.1. sz. PMH'!T9+'2.1. sz. PMH'!Z9+'2.1. sz. PMH'!AC9+'2.1. sz. PMH'!AF9+'2.1. sz. PMH'!AI9</f>
        <v>109414163</v>
      </c>
      <c r="L9" s="6">
        <f>+'2.1. sz. PMH'!AS9</f>
        <v>86126326</v>
      </c>
      <c r="M9" s="6">
        <f>D9+G9+J9</f>
        <v>2297297496</v>
      </c>
      <c r="N9" s="569">
        <f>E9+H9+K9</f>
        <v>2409167248</v>
      </c>
      <c r="O9" s="569">
        <f>+L9+I9+F9</f>
        <v>2113239177</v>
      </c>
      <c r="Q9" s="19">
        <f>+'2.1. sz. PMH'!AP9+'2.2. sz. Hétszínvirág Óvoda'!AD9+'2.3. sz. Mese Óvoda'!X9+'2.4. sz. Bölcsőde'!U9+'2.5. sz. Gyermekjóléti'!AA9+'2.6 sz. Területi'!BK9+'2.7. sz. Könyvtár'!AD9+'2.8. sz. Műv.Ház'!AD9+'2.9. sz. Szivárvány Ó.'!AA9</f>
        <v>2113239177</v>
      </c>
      <c r="R9" s="80">
        <f>+Q9-O9</f>
        <v>0</v>
      </c>
      <c r="T9" s="830">
        <f>+'2.1. sz. PMH'!E21+'2.1. sz. PMH'!H21+'2.1. sz. PMH'!W21+'2.1. sz. PMH'!AL21+'2.2. sz. Hétszínvirág Óvoda'!E21+'2.2. sz. Hétszínvirág Óvoda'!H21+'2.2. sz. Hétszínvirág Óvoda'!K21+'2.2. sz. Hétszínvirág Óvoda'!N21+'2.2. sz. Hétszínvirág Óvoda'!Q21+'2.3. sz. Mese Óvoda'!E21+'2.3. sz. Mese Óvoda'!H21+'2.3. sz. Mese Óvoda'!K21+'2.3. sz. Mese Óvoda'!N21+'2.3. sz. Mese Óvoda'!T21+'2.4. sz. Bölcsőde'!E21+'2.4. sz. Bölcsőde'!H21+'2.4. sz. Bölcsőde'!K21+'2.4. sz. Bölcsőde'!N21+'2.5. sz. Gyermekjóléti'!E21+'2.5. sz. Gyermekjóléti'!H21+'2.5. sz. Gyermekjóléti'!K21+'2.5. sz. Gyermekjóléti'!N21+'2.5. sz. Gyermekjóléti'!Q21+'2.5. sz. Gyermekjóléti'!Q21+'2.5. sz. Gyermekjóléti'!T21+'2.5. sz. Gyermekjóléti'!W21+'2.6 sz. Területi'!E21+'2.6 sz. Területi'!H21+'2.6 sz. Területi'!K21+'2.6 sz. Területi'!T21+'2.6 sz. Területi'!W21+'2.6 sz. Területi'!AI21+'2.6 sz. Területi'!AL21+'2.6 sz. Területi'!AO21+'2.6 sz. Területi'!AR21+'2.6 sz. Területi'!AU21+'2.6 sz. Területi'!AX21+'2.6 sz. Területi'!BD21+'2.6 sz. Területi'!BG21+'2.7. sz. Könyvtár'!E21+'2.7. sz. Könyvtár'!H21+'2.7. sz. Könyvtár'!N21+'2.7. sz. Könyvtár'!Q21+'2.7. sz. Könyvtár'!W21+'2.8. sz. Műv.Ház'!E21+'2.8. sz. Műv.Ház'!H21+'2.8. sz. Műv.Ház'!K21+'2.8. sz. Műv.Ház'!W21+'2.8. sz. Műv.Ház'!Z21+'2.9. sz. Szivárvány Ó.'!E21+'2.9. sz. Szivárvány Ó.'!H21+'2.9. sz. Szivárvány Ó.'!K21+'2.9. sz. Szivárvány Ó.'!N21+'2.9. sz. Szivárvány Ó.'!Q21</f>
        <v>4116526964</v>
      </c>
      <c r="U9" s="80">
        <f>+O9-2113239177</f>
        <v>0</v>
      </c>
    </row>
    <row r="10" spans="1:131" ht="23.25" customHeight="1" x14ac:dyDescent="0.25">
      <c r="A10" s="25" t="s">
        <v>192</v>
      </c>
      <c r="B10" s="27" t="s">
        <v>203</v>
      </c>
      <c r="C10" s="26" t="s">
        <v>204</v>
      </c>
      <c r="D10" s="6">
        <f>SUMIFS('2.1. sz. PMH'!D10:AL10,'2.1. sz. PMH'!$D$5:$AL$5,"kötelező",'2.1. sz. PMH'!$D$3:$AL$3,"Eredeti előirányzat")+SUMIFS('2.2. sz. Hétszínvirág Óvoda'!D10:Z10,'2.2. sz. Hétszínvirág Óvoda'!$D$5:$Z$5,"kötelező",'2.2. sz. Hétszínvirág Óvoda'!$D$3:$Z$3,"Eredeti előirányzat")+SUMIFS('2.3. sz. Mese Óvoda'!D10:T10,'2.3. sz. Mese Óvoda'!$D$5:$T$5,"kötelező",'2.3. sz. Mese Óvoda'!$D$3:$T$3,"Eredeti előirányzat")+SUMIFS('2.4. sz. Bölcsőde'!D10:Q10,'2.4. sz. Bölcsőde'!$D$5:$Q$5,"kötelező",'2.4. sz. Bölcsőde'!$D$3:$Q$3,"Eredeti előirányzat")+SUMIFS('2.5. sz. Gyermekjóléti'!D10:W10,'2.5. sz. Gyermekjóléti'!$D$5:$W$5,"kötelező",'2.5. sz. Gyermekjóléti'!$D$3:$W$3,"Eredeti előirányzat")+SUMIFS('2.6 sz. Területi'!D10:BG10,'2.6 sz. Területi'!$D$5:$BG$5,"kötelező",'2.6 sz. Területi'!$D$3:$BG$3,"Eredeti előirányzat")+SUMIFS('2.7. sz. Könyvtár'!D10:Z10,'2.7. sz. Könyvtár'!$D$5:$Z$5,"kötelező",'2.7. sz. Könyvtár'!$D$3:$Z$3,"Eredeti előirányzat")+SUMIFS('2.8. sz. Műv.Ház'!D10:Z10,'2.8. sz. Műv.Ház'!$D$5:$Z$5,"kötelező",'2.8. sz. Műv.Ház'!$D$3:$Z$3,"Eredeti előirányzat")+SUMIFS('2.9. sz. Szivárvány Ó.'!D10:W10,'2.9. sz. Szivárvány Ó.'!$D$5:$W$5,"kötelező",'2.9. sz. Szivárvány Ó.'!$D$3:$W$3,"Eredeti előirányzat")</f>
        <v>324656943</v>
      </c>
      <c r="E10" s="6">
        <f>+'2.1. sz. PMH'!E10+'2.1. sz. PMH'!H10+'2.1. sz. PMH'!W10+'2.1. sz. PMH'!AL10+'2.2. sz. Hétszínvirág Óvoda'!E10+'2.2. sz. Hétszínvirág Óvoda'!H10+'2.2. sz. Hétszínvirág Óvoda'!K10+'2.2. sz. Hétszínvirág Óvoda'!N10+'2.2. sz. Hétszínvirág Óvoda'!Q10+'2.2. sz. Hétszínvirág Óvoda'!T10+'2.2. sz. Hétszínvirág Óvoda'!W10+'2.2. sz. Hétszínvirág Óvoda'!Z10+'2.3. sz. Mese Óvoda'!E10+'2.3. sz. Mese Óvoda'!H10+'2.3. sz. Mese Óvoda'!K10+'2.3. sz. Mese Óvoda'!N10+'2.3. sz. Mese Óvoda'!Q10+'2.3. sz. Mese Óvoda'!T10+'2.4. sz. Bölcsőde'!E10+'2.4. sz. Bölcsőde'!H10+'2.4. sz. Bölcsőde'!K10+'2.4. sz. Bölcsőde'!N10+'2.4. sz. Bölcsőde'!Q10+'2.5. sz. Gyermekjóléti'!E10+'2.5. sz. Gyermekjóléti'!H10+'2.5. sz. Gyermekjóléti'!K10+'2.5. sz. Gyermekjóléti'!N10+'2.5. sz. Gyermekjóléti'!Q10+'2.5. sz. Gyermekjóléti'!T10+'2.5. sz. Gyermekjóléti'!W10+'2.6 sz. Területi'!E10+'2.6 sz. Területi'!H10+'2.6 sz. Területi'!K10+'2.6 sz. Területi'!T10+'2.6 sz. Területi'!W10+'2.6 sz. Területi'!AI10+'2.6 sz. Területi'!AL10+'2.6 sz. Területi'!AO10+'2.6 sz. Területi'!AR10+'2.6 sz. Területi'!AU10+'2.6 sz. Területi'!AX10+'2.6 sz. Területi'!BA10+'2.6 sz. Területi'!BD10+'2.6 sz. Területi'!BG10+'2.7. sz. Könyvtár'!E10+'2.7. sz. Könyvtár'!H10+'2.7. sz. Könyvtár'!K10+'2.7. sz. Könyvtár'!N10+'2.7. sz. Könyvtár'!Q10+'2.7. sz. Könyvtár'!T10+'2.7. sz. Könyvtár'!W10+'2.7. sz. Könyvtár'!Z10+'2.8. sz. Műv.Ház'!E10+'2.8. sz. Műv.Ház'!H10+'2.8. sz. Műv.Ház'!K10+'2.8. sz. Műv.Ház'!Q10+'2.8. sz. Műv.Ház'!T10+'2.8. sz. Műv.Ház'!W10+'2.8. sz. Műv.Ház'!Z10+'2.9. sz. Szivárvány Ó.'!E10+'2.9. sz. Szivárvány Ó.'!H10+'2.9. sz. Szivárvány Ó.'!K10+'2.9. sz. Szivárvány Ó.'!N10+'2.9. sz. Szivárvány Ó.'!Q10+'2.9. sz. Szivárvány Ó.'!T10+'2.9. sz. Szivárvány Ó.'!W10</f>
        <v>334566874</v>
      </c>
      <c r="F10" s="6">
        <f>+'2.1. sz. PMH'!AQ10+'2.2. sz. Hétszínvirág Óvoda'!AD10+'2.3. sz. Mese Óvoda'!X10+'2.4. sz. Bölcsőde'!U10+'2.5. sz. Gyermekjóléti'!AA10+'2.6 sz. Területi'!BL10+'2.7. sz. Könyvtár'!AD10+'2.8. sz. Műv.Ház'!AE10+'2.9. sz. Szivárvány Ó.'!AA10</f>
        <v>287091819</v>
      </c>
      <c r="G10" s="6">
        <f>SUMIFS('2.1. sz. PMH'!D10:AL10,'2.1. sz. PMH'!$D$5:$AL$5,"önként vállalt",'2.1. sz. PMH'!$D$3:$AL$3,"Eredeti előirányzat")+SUMIFS('2.2. sz. Hétszínvirág Óvoda'!D10:Z10,'2.2. sz. Hétszínvirág Óvoda'!$D$5:$Z$5,"önként vállalt",'2.2. sz. Hétszínvirág Óvoda'!$D$3:$Z$3,"Eredeti előirányzat")+SUMIFS('2.3. sz. Mese Óvoda'!D10:T10,'2.3. sz. Mese Óvoda'!$D$5:$T$5,"önként vállalt",'2.3. sz. Mese Óvoda'!$D$3:$T$3,"Eredeti előirányzat")+SUMIFS('2.4. sz. Bölcsőde'!D10:Q10,'2.4. sz. Bölcsőde'!$D$5:$Q$5,"önként vállalt",'2.4. sz. Bölcsőde'!$D$3:$Q$3,"Eredeti előirányzat")+SUMIFS('2.5. sz. Gyermekjóléti'!D10:W10,'2.5. sz. Gyermekjóléti'!$D$5:$W$5,"önként vállalt",'2.5. sz. Gyermekjóléti'!$D$3:$W$3,"Eredeti előirányzat")+SUMIFS('2.6 sz. Területi'!D10:BG10,'2.6 sz. Területi'!$D$5:$BG$5,"önként vállalt",'2.6 sz. Területi'!$D$3:$BG$3,"Eredeti előirányzat")+SUMIFS('2.7. sz. Könyvtár'!D10:Z10,'2.7. sz. Könyvtár'!$D$5:$Z$5,"önként vállalt",'2.7. sz. Könyvtár'!$D$3:$Z$3,"Eredeti előirányzat")+SUMIFS('2.8. sz. Műv.Ház'!D10:Z10,'2.8. sz. Műv.Ház'!$D$5:$Z$5,"önként vállalt",'2.8. sz. Műv.Ház'!$D$3:$Z$3,"Eredeti előirányzat")+SUMIFS('2.9. sz. Szivárvány Ó.'!D10:W10,'2.9. sz. Szivárvány Ó.'!$D$5:$W$5,"önként vállalt",'2.9. sz. Szivárvány Ó.'!$D$3:$W$3,"Eredeti előirányzat")</f>
        <v>9612090</v>
      </c>
      <c r="H10" s="6">
        <f>+'2.6 sz. Területi'!N10+'2.6 sz. Területi'!Q10+'2.6 sz. Területi'!Z10+'2.6 sz. Területi'!AC10+'2.6 sz. Területi'!AF10+'2.8. sz. Műv.Ház'!N10</f>
        <v>10078481</v>
      </c>
      <c r="I10" s="6">
        <f>+'2.6 sz. Területi'!BM10+'2.8. sz. Műv.Ház'!AF10</f>
        <v>8766952</v>
      </c>
      <c r="J10" s="6">
        <f>SUMIFS('2.1. sz. PMH'!D10:AL10,'2.1. sz. PMH'!$D$5:$AL$5,"államigazgatási",'2.1. sz. PMH'!$D$3:$AL$3,"Eredeti előirányzat")+SUMIFS('2.2. sz. Hétszínvirág Óvoda'!D10:Z10,'2.2. sz. Hétszínvirág Óvoda'!$D$5:$Z$5,"államigazgatási",'2.2. sz. Hétszínvirág Óvoda'!$D$3:$Z$3,"Eredeti előirányzat")+SUMIFS('2.3. sz. Mese Óvoda'!D10:T10,'2.3. sz. Mese Óvoda'!$D$5:$T$5,"államigazgatási",'2.3. sz. Mese Óvoda'!$D$3:$T$3,"Eredeti előirányzat")+SUMIFS('2.4. sz. Bölcsőde'!D10:Q10,'2.4. sz. Bölcsőde'!$D$5:$Q$5,"államigazgatási",'2.4. sz. Bölcsőde'!$D$3:$Q$3,"Eredeti előirányzat")+SUMIFS('2.5. sz. Gyermekjóléti'!D10:W10,'2.5. sz. Gyermekjóléti'!$D$5:$W$5,"államigazgatási",'2.5. sz. Gyermekjóléti'!$D$3:$W$3,"Eredeti előirányzat")+SUMIFS('2.6 sz. Területi'!D10:BG10,'2.6 sz. Területi'!$D$5:$BG$5,"államigazgatási",'2.6 sz. Területi'!$D$3:$BG$3,"Eredeti előirányzat")+SUMIFS('2.7. sz. Könyvtár'!D10:Z10,'2.7. sz. Könyvtár'!$D$5:$Z$5,"államigazgatási",'2.7. sz. Könyvtár'!$D$3:$Z$3,"Eredeti előirányzat")+SUMIFS('2.8. sz. Műv.Ház'!D10:Z10,'2.8. sz. Műv.Ház'!$D$5:$Z$5,"államigazgatási",'2.8. sz. Műv.Ház'!$D$3:$Z$3,"Eredeti előirányzat")+SUMIFS('2.9. sz. Szivárvány Ó.'!D10:W10,'2.9. sz. Szivárvány Ó.'!$D$5:$W$5,"államigazgatási",'2.9. sz. Szivárvány Ó.'!$D$3:$W$3,"Eredeti előirányzat")</f>
        <v>11123677</v>
      </c>
      <c r="K10" s="6">
        <f>+'2.1. sz. PMH'!K10+'2.1. sz. PMH'!N10+'2.1. sz. PMH'!Q10+'2.1. sz. PMH'!T10+'2.1. sz. PMH'!Z10+'2.1. sz. PMH'!AC10+'2.1. sz. PMH'!AF10+'2.1. sz. PMH'!AI10</f>
        <v>15203143</v>
      </c>
      <c r="L10" s="6">
        <f>+'2.1. sz. PMH'!AS10</f>
        <v>11407867</v>
      </c>
      <c r="M10" s="6">
        <f t="shared" ref="M10:M50" si="0">D10+G10+J10</f>
        <v>345392710</v>
      </c>
      <c r="N10" s="569">
        <f t="shared" ref="N10:N51" si="1">E10+H10+K10</f>
        <v>359848498</v>
      </c>
      <c r="O10" s="569">
        <f t="shared" ref="O10:O51" si="2">+L10+I10+F10</f>
        <v>307266638</v>
      </c>
      <c r="Q10" s="19">
        <f>+'2.1. sz. PMH'!AP10+'2.2. sz. Hétszínvirág Óvoda'!AD10+'2.3. sz. Mese Óvoda'!X10+'2.4. sz. Bölcsőde'!U10+'2.5. sz. Gyermekjóléti'!AA10+'2.6 sz. Területi'!BK10+'2.7. sz. Könyvtár'!AD10+'2.8. sz. Műv.Ház'!AD10+'2.9. sz. Szivárvány Ó.'!AA10</f>
        <v>307266638</v>
      </c>
      <c r="R10" s="80">
        <f t="shared" ref="R10:R51" si="3">+Q10-O10</f>
        <v>0</v>
      </c>
      <c r="U10" s="80">
        <f>+O10-307266638</f>
        <v>0</v>
      </c>
    </row>
    <row r="11" spans="1:131" ht="23.25" customHeight="1" x14ac:dyDescent="0.25">
      <c r="A11" s="25" t="s">
        <v>193</v>
      </c>
      <c r="B11" s="27" t="s">
        <v>331</v>
      </c>
      <c r="C11" s="26" t="s">
        <v>205</v>
      </c>
      <c r="D11" s="6">
        <f>SUMIFS('2.1. sz. PMH'!D11:AL11,'2.1. sz. PMH'!$D$5:$AL$5,"kötelező",'2.1. sz. PMH'!$D$3:$AL$3,"Eredeti előirányzat")+SUMIFS('2.2. sz. Hétszínvirág Óvoda'!D11:Z11,'2.2. sz. Hétszínvirág Óvoda'!$D$5:$Z$5,"kötelező",'2.2. sz. Hétszínvirág Óvoda'!$D$3:$Z$3,"Eredeti előirányzat")+SUMIFS('2.3. sz. Mese Óvoda'!D11:T11,'2.3. sz. Mese Óvoda'!$D$5:$T$5,"kötelező",'2.3. sz. Mese Óvoda'!$D$3:$T$3,"Eredeti előirányzat")+SUMIFS('2.4. sz. Bölcsőde'!D11:Q11,'2.4. sz. Bölcsőde'!$D$5:$Q$5,"kötelező",'2.4. sz. Bölcsőde'!$D$3:$Q$3,"Eredeti előirányzat")+SUMIFS('2.5. sz. Gyermekjóléti'!D11:W11,'2.5. sz. Gyermekjóléti'!$D$5:$W$5,"kötelező",'2.5. sz. Gyermekjóléti'!$D$3:$W$3,"Eredeti előirányzat")+SUMIFS('2.6 sz. Területi'!D11:BG11,'2.6 sz. Területi'!$D$5:$BG$5,"kötelező",'2.6 sz. Területi'!$D$3:$BG$3,"Eredeti előirányzat")+SUMIFS('2.7. sz. Könyvtár'!D11:Z11,'2.7. sz. Könyvtár'!$D$5:$Z$5,"kötelező",'2.7. sz. Könyvtár'!$D$3:$Z$3,"Eredeti előirányzat")+SUMIFS('2.8. sz. Műv.Ház'!D11:Z11,'2.8. sz. Műv.Ház'!$D$5:$Z$5,"kötelező",'2.8. sz. Műv.Ház'!$D$3:$Z$3,"Eredeti előirányzat")+SUMIFS('2.9. sz. Szivárvány Ó.'!D11:W11,'2.9. sz. Szivárvány Ó.'!$D$5:$W$5,"kötelező",'2.9. sz. Szivárvány Ó.'!$D$3:$W$3,"Eredeti előirányzat")</f>
        <v>1124264244</v>
      </c>
      <c r="E11" s="6">
        <f>+'2.1. sz. PMH'!E11+'2.1. sz. PMH'!H11+'2.1. sz. PMH'!W11+'2.1. sz. PMH'!AL11+'2.2. sz. Hétszínvirág Óvoda'!E11+'2.2. sz. Hétszínvirág Óvoda'!H11+'2.2. sz. Hétszínvirág Óvoda'!K11+'2.2. sz. Hétszínvirág Óvoda'!N11+'2.2. sz. Hétszínvirág Óvoda'!Q11+'2.2. sz. Hétszínvirág Óvoda'!T11+'2.2. sz. Hétszínvirág Óvoda'!W11+'2.2. sz. Hétszínvirág Óvoda'!Z11+'2.3. sz. Mese Óvoda'!E11+'2.3. sz. Mese Óvoda'!H11+'2.3. sz. Mese Óvoda'!K11+'2.3. sz. Mese Óvoda'!N11+'2.3. sz. Mese Óvoda'!Q11+'2.3. sz. Mese Óvoda'!T11+'2.4. sz. Bölcsőde'!E11+'2.4. sz. Bölcsőde'!H11+'2.4. sz. Bölcsőde'!K11+'2.4. sz. Bölcsőde'!N11+'2.4. sz. Bölcsőde'!Q11+'2.5. sz. Gyermekjóléti'!E11+'2.5. sz. Gyermekjóléti'!H11+'2.5. sz. Gyermekjóléti'!K11+'2.5. sz. Gyermekjóléti'!N11+'2.5. sz. Gyermekjóléti'!Q11+'2.5. sz. Gyermekjóléti'!T11+'2.5. sz. Gyermekjóléti'!W11+'2.6 sz. Területi'!E11+'2.6 sz. Területi'!H11+'2.6 sz. Területi'!K11+'2.6 sz. Területi'!T11+'2.6 sz. Területi'!W11+'2.6 sz. Területi'!AI11+'2.6 sz. Területi'!AL11+'2.6 sz. Területi'!AO11+'2.6 sz. Területi'!AR11+'2.6 sz. Területi'!AU11+'2.6 sz. Területi'!AX11+'2.6 sz. Területi'!BA11+'2.6 sz. Területi'!BD11+'2.6 sz. Területi'!BG11+'2.7. sz. Könyvtár'!E11+'2.7. sz. Könyvtár'!H11+'2.7. sz. Könyvtár'!K11+'2.7. sz. Könyvtár'!N11+'2.7. sz. Könyvtár'!Q11+'2.7. sz. Könyvtár'!T11+'2.7. sz. Könyvtár'!W11+'2.7. sz. Könyvtár'!Z11+'2.8. sz. Műv.Ház'!E11+'2.8. sz. Műv.Ház'!H11+'2.8. sz. Műv.Ház'!K11+'2.8. sz. Műv.Ház'!Q11+'2.8. sz. Műv.Ház'!T11+'2.8. sz. Műv.Ház'!W11+'2.8. sz. Műv.Ház'!Z11+'2.9. sz. Szivárvány Ó.'!E11+'2.9. sz. Szivárvány Ó.'!H11+'2.9. sz. Szivárvány Ó.'!K11+'2.9. sz. Szivárvány Ó.'!N11+'2.9. sz. Szivárvány Ó.'!Q11+'2.9. sz. Szivárvány Ó.'!T11+'2.9. sz. Szivárvány Ó.'!W11</f>
        <v>1304138069</v>
      </c>
      <c r="F11" s="6">
        <f>+'2.1. sz. PMH'!AQ11+'2.2. sz. Hétszínvirág Óvoda'!AD11+'2.3. sz. Mese Óvoda'!X11+'2.4. sz. Bölcsőde'!U11+'2.5. sz. Gyermekjóléti'!AA11+'2.6 sz. Területi'!BL11+'2.7. sz. Könyvtár'!AD11+'2.8. sz. Műv.Ház'!AE11+'2.9. sz. Szivárvány Ó.'!AA11</f>
        <v>939525482</v>
      </c>
      <c r="G11" s="6">
        <f>SUMIFS('2.1. sz. PMH'!D11:AL11,'2.1. sz. PMH'!$D$5:$AL$5,"önként vállalt",'2.1. sz. PMH'!$D$3:$AL$3,"Eredeti előirányzat")+SUMIFS('2.2. sz. Hétszínvirág Óvoda'!D11:Z11,'2.2. sz. Hétszínvirág Óvoda'!$D$5:$Z$5,"önként vállalt",'2.2. sz. Hétszínvirág Óvoda'!$D$3:$Z$3,"Eredeti előirányzat")+SUMIFS('2.3. sz. Mese Óvoda'!D11:T11,'2.3. sz. Mese Óvoda'!$D$5:$T$5,"önként vállalt",'2.3. sz. Mese Óvoda'!$D$3:$T$3,"Eredeti előirányzat")+SUMIFS('2.4. sz. Bölcsőde'!D11:Q11,'2.4. sz. Bölcsőde'!$D$5:$Q$5,"önként vállalt",'2.4. sz. Bölcsőde'!$D$3:$Q$3,"Eredeti előirányzat")+SUMIFS('2.5. sz. Gyermekjóléti'!D11:W11,'2.5. sz. Gyermekjóléti'!$D$5:$W$5,"önként vállalt",'2.5. sz. Gyermekjóléti'!$D$3:$W$3,"Eredeti előirányzat")+SUMIFS('2.6 sz. Területi'!D11:BG11,'2.6 sz. Területi'!$D$5:$BG$5,"önként vállalt",'2.6 sz. Területi'!$D$3:$BG$3,"Eredeti előirányzat")+SUMIFS('2.7. sz. Könyvtár'!D11:Z11,'2.7. sz. Könyvtár'!$D$5:$Z$5,"önként vállalt",'2.7. sz. Könyvtár'!$D$3:$Z$3,"Eredeti előirányzat")+SUMIFS('2.8. sz. Műv.Ház'!D11:Z11,'2.8. sz. Műv.Ház'!$D$5:$Z$5,"önként vállalt",'2.8. sz. Műv.Ház'!$D$3:$Z$3,"Eredeti előirányzat")+SUMIFS('2.9. sz. Szivárvány Ó.'!D11:W11,'2.9. sz. Szivárvány Ó.'!$D$5:$W$5,"önként vállalt",'2.9. sz. Szivárvány Ó.'!$D$3:$W$3,"Eredeti előirányzat")</f>
        <v>47176608</v>
      </c>
      <c r="H11" s="6">
        <f>+'2.6 sz. Területi'!N11+'2.6 sz. Területi'!Q11+'2.6 sz. Területi'!Z11+'2.6 sz. Területi'!AC11+'2.6 sz. Területi'!AF11+'2.8. sz. Műv.Ház'!N11</f>
        <v>48437010</v>
      </c>
      <c r="I11" s="6">
        <f>+'2.6 sz. Területi'!BM11+'2.8. sz. Műv.Ház'!AF11</f>
        <v>22075064</v>
      </c>
      <c r="J11" s="6">
        <f>SUMIFS('2.1. sz. PMH'!D11:AL11,'2.1. sz. PMH'!$D$5:$AL$5,"államigazgatási",'2.1. sz. PMH'!$D$3:$AL$3,"Eredeti előirányzat")+SUMIFS('2.2. sz. Hétszínvirág Óvoda'!D11:Z11,'2.2. sz. Hétszínvirág Óvoda'!$D$5:$Z$5,"államigazgatási",'2.2. sz. Hétszínvirág Óvoda'!$D$3:$Z$3,"Eredeti előirányzat")+SUMIFS('2.3. sz. Mese Óvoda'!D11:T11,'2.3. sz. Mese Óvoda'!$D$5:$T$5,"államigazgatási",'2.3. sz. Mese Óvoda'!$D$3:$T$3,"Eredeti előirányzat")+SUMIFS('2.4. sz. Bölcsőde'!D11:Q11,'2.4. sz. Bölcsőde'!$D$5:$Q$5,"államigazgatási",'2.4. sz. Bölcsőde'!$D$3:$Q$3,"Eredeti előirányzat")+SUMIFS('2.5. sz. Gyermekjóléti'!D11:W11,'2.5. sz. Gyermekjóléti'!$D$5:$W$5,"államigazgatási",'2.5. sz. Gyermekjóléti'!$D$3:$W$3,"Eredeti előirányzat")+SUMIFS('2.6 sz. Területi'!D11:BG11,'2.6 sz. Területi'!$D$5:$BG$5,"államigazgatási",'2.6 sz. Területi'!$D$3:$BG$3,"Eredeti előirányzat")+SUMIFS('2.7. sz. Könyvtár'!D11:Z11,'2.7. sz. Könyvtár'!$D$5:$Z$5,"államigazgatási",'2.7. sz. Könyvtár'!$D$3:$Z$3,"Eredeti előirányzat")+SUMIFS('2.8. sz. Műv.Ház'!D11:Z11,'2.8. sz. Műv.Ház'!$D$5:$Z$5,"államigazgatási",'2.8. sz. Műv.Ház'!$D$3:$Z$3,"Eredeti előirányzat")+SUMIFS('2.9. sz. Szivárvány Ó.'!D11:W11,'2.9. sz. Szivárvány Ó.'!$D$5:$W$5,"államigazgatási",'2.9. sz. Szivárvány Ó.'!$D$3:$W$3,"Eredeti előirányzat")</f>
        <v>31296481</v>
      </c>
      <c r="K11" s="6">
        <f>+'2.1. sz. PMH'!K11+'2.1. sz. PMH'!N11+'2.1. sz. PMH'!Q11+'2.1. sz. PMH'!T11+'2.1. sz. PMH'!Z11+'2.1. sz. PMH'!AC11+'2.1. sz. PMH'!AF11+'2.1. sz. PMH'!AI11</f>
        <v>33208823</v>
      </c>
      <c r="L11" s="6">
        <f>+'2.1. sz. PMH'!AS11</f>
        <v>22929806</v>
      </c>
      <c r="M11" s="6">
        <f>D11+G11+J11</f>
        <v>1202737333</v>
      </c>
      <c r="N11" s="569">
        <f t="shared" si="1"/>
        <v>1385783902</v>
      </c>
      <c r="O11" s="569">
        <f t="shared" si="2"/>
        <v>984530352</v>
      </c>
      <c r="Q11" s="19">
        <f>+'2.1. sz. PMH'!AP11+'2.2. sz. Hétszínvirág Óvoda'!AD11+'2.3. sz. Mese Óvoda'!X11+'2.4. sz. Bölcsőde'!U11+'2.5. sz. Gyermekjóléti'!AA11+'2.6 sz. Területi'!BK11+'2.7. sz. Könyvtár'!AD11+'2.8. sz. Műv.Ház'!AD11+'2.9. sz. Szivárvány Ó.'!AA11</f>
        <v>984530352</v>
      </c>
      <c r="R11" s="80">
        <f t="shared" si="3"/>
        <v>0</v>
      </c>
      <c r="U11" s="80">
        <f>984530352-O11</f>
        <v>0</v>
      </c>
      <c r="EA11" s="19" t="b">
        <f>'2.10. sz. Intézmények összesen'!D9=SUMIF($D$7:$DZ$7,"kötelező",D11:DZ11)</f>
        <v>0</v>
      </c>
    </row>
    <row r="12" spans="1:131" ht="23.25" customHeight="1" x14ac:dyDescent="0.25">
      <c r="A12" s="25" t="s">
        <v>194</v>
      </c>
      <c r="B12" s="28" t="s">
        <v>332</v>
      </c>
      <c r="C12" s="26" t="s">
        <v>206</v>
      </c>
      <c r="D12" s="6">
        <f>SUMIFS('2.1. sz. PMH'!D12:AL12,'2.1. sz. PMH'!$D$5:$AL$5,"kötelező",'2.1. sz. PMH'!$D$3:$AL$3,"Eredeti előirányzat")+SUMIFS('2.2. sz. Hétszínvirág Óvoda'!D12:Z12,'2.2. sz. Hétszínvirág Óvoda'!$D$5:$Z$5,"kötelező",'2.2. sz. Hétszínvirág Óvoda'!$D$3:$Z$3,"Eredeti előirányzat")+SUMIFS('2.3. sz. Mese Óvoda'!D12:T12,'2.3. sz. Mese Óvoda'!$D$5:$T$5,"kötelező",'2.3. sz. Mese Óvoda'!$D$3:$T$3,"Eredeti előirányzat")+SUMIFS('2.4. sz. Bölcsőde'!D12:Q12,'2.4. sz. Bölcsőde'!$D$5:$Q$5,"kötelező",'2.4. sz. Bölcsőde'!$D$3:$Q$3,"Eredeti előirányzat")+SUMIFS('2.5. sz. Gyermekjóléti'!D12:W12,'2.5. sz. Gyermekjóléti'!$D$5:$W$5,"kötelező",'2.5. sz. Gyermekjóléti'!$D$3:$W$3,"Eredeti előirányzat")+SUMIFS('2.6 sz. Területi'!D12:BG12,'2.6 sz. Területi'!$D$5:$BG$5,"kötelező",'2.6 sz. Területi'!$D$3:$BG$3,"Eredeti előirányzat")+SUMIFS('2.7. sz. Könyvtár'!D12:Z12,'2.7. sz. Könyvtár'!$D$5:$Z$5,"kötelező",'2.7. sz. Könyvtár'!$D$3:$Z$3,"Eredeti előirányzat")+SUMIFS('2.8. sz. Műv.Ház'!D12:Z12,'2.8. sz. Műv.Ház'!$D$5:$Z$5,"kötelező",'2.8. sz. Műv.Ház'!$D$3:$Z$3,"Eredeti előirányzat")+SUMIFS('2.9. sz. Szivárvány Ó.'!D12:W12,'2.9. sz. Szivárvány Ó.'!$D$5:$W$5,"kötelező",'2.9. sz. Szivárvány Ó.'!$D$3:$W$3,"Eredeti előirányzat")</f>
        <v>0</v>
      </c>
      <c r="E12" s="6">
        <f>+'2.1. sz. PMH'!E12+'2.1. sz. PMH'!H12+'2.1. sz. PMH'!W12+'2.1. sz. PMH'!AL12+'2.2. sz. Hétszínvirág Óvoda'!E12+'2.2. sz. Hétszínvirág Óvoda'!H12+'2.2. sz. Hétszínvirág Óvoda'!K12+'2.2. sz. Hétszínvirág Óvoda'!N12+'2.2. sz. Hétszínvirág Óvoda'!Q12+'2.2. sz. Hétszínvirág Óvoda'!T12+'2.2. sz. Hétszínvirág Óvoda'!W12+'2.2. sz. Hétszínvirág Óvoda'!Z12+'2.3. sz. Mese Óvoda'!E12+'2.3. sz. Mese Óvoda'!H12+'2.3. sz. Mese Óvoda'!K12+'2.3. sz. Mese Óvoda'!N12+'2.3. sz. Mese Óvoda'!Q12+'2.3. sz. Mese Óvoda'!T12+'2.4. sz. Bölcsőde'!E12+'2.4. sz. Bölcsőde'!H12+'2.4. sz. Bölcsőde'!K12+'2.4. sz. Bölcsőde'!N12+'2.4. sz. Bölcsőde'!Q12+'2.5. sz. Gyermekjóléti'!E12+'2.5. sz. Gyermekjóléti'!H12+'2.5. sz. Gyermekjóléti'!K12+'2.5. sz. Gyermekjóléti'!N12+'2.5. sz. Gyermekjóléti'!Q12+'2.5. sz. Gyermekjóléti'!T12+'2.5. sz. Gyermekjóléti'!W12+'2.6 sz. Területi'!E12+'2.6 sz. Területi'!H12+'2.6 sz. Területi'!K12+'2.6 sz. Területi'!T12+'2.6 sz. Területi'!W12+'2.6 sz. Területi'!AI12+'2.6 sz. Területi'!AL12+'2.6 sz. Területi'!AO12+'2.6 sz. Területi'!AR12+'2.6 sz. Területi'!AU12+'2.6 sz. Területi'!AX12+'2.6 sz. Területi'!BA12+'2.6 sz. Területi'!BD12+'2.6 sz. Területi'!BG12+'2.7. sz. Könyvtár'!E12+'2.7. sz. Könyvtár'!H12+'2.7. sz. Könyvtár'!K12+'2.7. sz. Könyvtár'!N12+'2.7. sz. Könyvtár'!Q12+'2.7. sz. Könyvtár'!T12+'2.7. sz. Könyvtár'!W12+'2.7. sz. Könyvtár'!Z12+'2.8. sz. Műv.Ház'!E12+'2.8. sz. Műv.Ház'!H12+'2.8. sz. Műv.Ház'!K12+'2.8. sz. Műv.Ház'!Q12+'2.8. sz. Műv.Ház'!T12+'2.8. sz. Műv.Ház'!W12+'2.8. sz. Műv.Ház'!Z12+'2.9. sz. Szivárvány Ó.'!E12+'2.9. sz. Szivárvány Ó.'!H12+'2.9. sz. Szivárvány Ó.'!K12+'2.9. sz. Szivárvány Ó.'!N12+'2.9. sz. Szivárvány Ó.'!Q12+'2.9. sz. Szivárvány Ó.'!T12+'2.9. sz. Szivárvány Ó.'!W12</f>
        <v>0</v>
      </c>
      <c r="F12" s="6">
        <f>+'2.1. sz. PMH'!AQ12+'2.2. sz. Hétszínvirág Óvoda'!AD12+'2.3. sz. Mese Óvoda'!X12+'2.4. sz. Bölcsőde'!U12+'2.5. sz. Gyermekjóléti'!AA12+'2.6 sz. Területi'!BL12+'2.7. sz. Könyvtár'!AD12+'2.8. sz. Műv.Ház'!AE12+'2.9. sz. Szivárvány Ó.'!AA12</f>
        <v>0</v>
      </c>
      <c r="G12" s="6">
        <f>SUMIFS('2.1. sz. PMH'!D12:AL12,'2.1. sz. PMH'!$D$5:$AL$5,"önként vállalt",'2.1. sz. PMH'!$D$3:$AL$3,"Eredeti előirányzat")+SUMIFS('2.2. sz. Hétszínvirág Óvoda'!D12:Z12,'2.2. sz. Hétszínvirág Óvoda'!$D$5:$Z$5,"önként vállalt",'2.2. sz. Hétszínvirág Óvoda'!$D$3:$Z$3,"Eredeti előirányzat")+SUMIFS('2.3. sz. Mese Óvoda'!D12:T12,'2.3. sz. Mese Óvoda'!$D$5:$T$5,"önként vállalt",'2.3. sz. Mese Óvoda'!$D$3:$T$3,"Eredeti előirányzat")+SUMIFS('2.4. sz. Bölcsőde'!D12:Q12,'2.4. sz. Bölcsőde'!$D$5:$Q$5,"önként vállalt",'2.4. sz. Bölcsőde'!$D$3:$Q$3,"Eredeti előirányzat")+SUMIFS('2.5. sz. Gyermekjóléti'!D12:W12,'2.5. sz. Gyermekjóléti'!$D$5:$W$5,"önként vállalt",'2.5. sz. Gyermekjóléti'!$D$3:$W$3,"Eredeti előirányzat")+SUMIFS('2.6 sz. Területi'!D12:BG12,'2.6 sz. Területi'!$D$5:$BG$5,"önként vállalt",'2.6 sz. Területi'!$D$3:$BG$3,"Eredeti előirányzat")+SUMIFS('2.7. sz. Könyvtár'!D12:Z12,'2.7. sz. Könyvtár'!$D$5:$Z$5,"önként vállalt",'2.7. sz. Könyvtár'!$D$3:$Z$3,"Eredeti előirányzat")+SUMIFS('2.8. sz. Műv.Ház'!D12:Z12,'2.8. sz. Műv.Ház'!$D$5:$Z$5,"önként vállalt",'2.8. sz. Műv.Ház'!$D$3:$Z$3,"Eredeti előirányzat")+SUMIFS('2.9. sz. Szivárvány Ó.'!D12:W12,'2.9. sz. Szivárvány Ó.'!$D$5:$W$5,"önként vállalt",'2.9. sz. Szivárvány Ó.'!$D$3:$W$3,"Eredeti előirányzat")</f>
        <v>0</v>
      </c>
      <c r="H12" s="6">
        <f>+'2.6 sz. Területi'!N12+'2.6 sz. Területi'!Q12+'2.6 sz. Területi'!Z12+'2.6 sz. Területi'!AC12+'2.6 sz. Területi'!AF12+'2.8. sz. Műv.Ház'!N12</f>
        <v>0</v>
      </c>
      <c r="I12" s="6">
        <f>+'2.6 sz. Területi'!BM12+'2.8. sz. Műv.Ház'!AF12</f>
        <v>0</v>
      </c>
      <c r="J12" s="6">
        <f>SUMIFS('2.1. sz. PMH'!D12:AL12,'2.1. sz. PMH'!$D$5:$AL$5,"államigazgatási",'2.1. sz. PMH'!$D$3:$AL$3,"Eredeti előirányzat")+SUMIFS('2.2. sz. Hétszínvirág Óvoda'!D12:Z12,'2.2. sz. Hétszínvirág Óvoda'!$D$5:$Z$5,"államigazgatási",'2.2. sz. Hétszínvirág Óvoda'!$D$3:$Z$3,"Eredeti előirányzat")+SUMIFS('2.3. sz. Mese Óvoda'!D12:T12,'2.3. sz. Mese Óvoda'!$D$5:$T$5,"államigazgatási",'2.3. sz. Mese Óvoda'!$D$3:$T$3,"Eredeti előirányzat")+SUMIFS('2.4. sz. Bölcsőde'!D12:Q12,'2.4. sz. Bölcsőde'!$D$5:$Q$5,"államigazgatási",'2.4. sz. Bölcsőde'!$D$3:$Q$3,"Eredeti előirányzat")+SUMIFS('2.5. sz. Gyermekjóléti'!D12:W12,'2.5. sz. Gyermekjóléti'!$D$5:$W$5,"államigazgatási",'2.5. sz. Gyermekjóléti'!$D$3:$W$3,"Eredeti előirányzat")+SUMIFS('2.6 sz. Területi'!D12:BG12,'2.6 sz. Területi'!$D$5:$BG$5,"államigazgatási",'2.6 sz. Területi'!$D$3:$BG$3,"Eredeti előirányzat")+SUMIFS('2.7. sz. Könyvtár'!D12:Z12,'2.7. sz. Könyvtár'!$D$5:$Z$5,"államigazgatási",'2.7. sz. Könyvtár'!$D$3:$Z$3,"Eredeti előirányzat")+SUMIFS('2.8. sz. Műv.Ház'!D12:Z12,'2.8. sz. Műv.Ház'!$D$5:$Z$5,"államigazgatási",'2.8. sz. Műv.Ház'!$D$3:$Z$3,"Eredeti előirányzat")+SUMIFS('2.9. sz. Szivárvány Ó.'!D12:W12,'2.9. sz. Szivárvány Ó.'!$D$5:$W$5,"államigazgatási",'2.9. sz. Szivárvány Ó.'!$D$3:$W$3,"Eredeti előirányzat")</f>
        <v>0</v>
      </c>
      <c r="K12" s="6">
        <f>+'2.1. sz. PMH'!K12+'2.1. sz. PMH'!N12+'2.1. sz. PMH'!Q12+'2.1. sz. PMH'!T12+'2.1. sz. PMH'!Z12+'2.1. sz. PMH'!AC12+'2.1. sz. PMH'!AF12+'2.1. sz. PMH'!AI12</f>
        <v>0</v>
      </c>
      <c r="L12" s="6">
        <f>+'2.1. sz. PMH'!AS12</f>
        <v>0</v>
      </c>
      <c r="M12" s="6">
        <f t="shared" si="0"/>
        <v>0</v>
      </c>
      <c r="N12" s="569">
        <f t="shared" si="1"/>
        <v>0</v>
      </c>
      <c r="O12" s="569">
        <f t="shared" si="2"/>
        <v>0</v>
      </c>
      <c r="Q12" s="19">
        <f>+'2.1. sz. PMH'!AP12+'2.2. sz. Hétszínvirág Óvoda'!AD12+'2.3. sz. Mese Óvoda'!X12+'2.4. sz. Bölcsőde'!U12+'2.5. sz. Gyermekjóléti'!AA12+'2.6 sz. Területi'!BK12+'2.7. sz. Könyvtár'!AD12+'2.8. sz. Műv.Ház'!AD12+'2.9. sz. Szivárvány Ó.'!AA12</f>
        <v>0</v>
      </c>
      <c r="R12" s="80">
        <f t="shared" si="3"/>
        <v>0</v>
      </c>
    </row>
    <row r="13" spans="1:131" ht="23.25" customHeight="1" x14ac:dyDescent="0.25">
      <c r="A13" s="25" t="s">
        <v>195</v>
      </c>
      <c r="B13" s="28" t="s">
        <v>237</v>
      </c>
      <c r="C13" s="26" t="s">
        <v>207</v>
      </c>
      <c r="D13" s="6">
        <f>SUMIFS('2.1. sz. PMH'!D13:AL13,'2.1. sz. PMH'!$D$5:$AL$5,"kötelező",'2.1. sz. PMH'!$D$3:$AL$3,"Eredeti előirányzat")+SUMIFS('2.2. sz. Hétszínvirág Óvoda'!D13:Z13,'2.2. sz. Hétszínvirág Óvoda'!$D$5:$Z$5,"kötelező",'2.2. sz. Hétszínvirág Óvoda'!$D$3:$Z$3,"Eredeti előirányzat")+SUMIFS('2.3. sz. Mese Óvoda'!D13:T13,'2.3. sz. Mese Óvoda'!$D$5:$T$5,"kötelező",'2.3. sz. Mese Óvoda'!$D$3:$T$3,"Eredeti előirányzat")+SUMIFS('2.4. sz. Bölcsőde'!D13:Q13,'2.4. sz. Bölcsőde'!$D$5:$Q$5,"kötelező",'2.4. sz. Bölcsőde'!$D$3:$Q$3,"Eredeti előirányzat")+SUMIFS('2.5. sz. Gyermekjóléti'!D13:W13,'2.5. sz. Gyermekjóléti'!$D$5:$W$5,"kötelező",'2.5. sz. Gyermekjóléti'!$D$3:$W$3,"Eredeti előirányzat")+SUMIFS('2.6 sz. Területi'!D13:BG13,'2.6 sz. Területi'!$D$5:$BG$5,"kötelező",'2.6 sz. Területi'!$D$3:$BG$3,"Eredeti előirányzat")+SUMIFS('2.7. sz. Könyvtár'!D13:Z13,'2.7. sz. Könyvtár'!$D$5:$Z$5,"kötelező",'2.7. sz. Könyvtár'!$D$3:$Z$3,"Eredeti előirányzat")+SUMIFS('2.8. sz. Műv.Ház'!D13:Z13,'2.8. sz. Műv.Ház'!$D$5:$Z$5,"kötelező",'2.8. sz. Műv.Ház'!$D$3:$Z$3,"Eredeti előirányzat")+SUMIFS('2.9. sz. Szivárvány Ó.'!D13:W13,'2.9. sz. Szivárvány Ó.'!$D$5:$W$5,"kötelező",'2.9. sz. Szivárvány Ó.'!$D$3:$W$3,"Eredeti előirányzat")</f>
        <v>0</v>
      </c>
      <c r="E13" s="6">
        <f>+'2.1. sz. PMH'!E13+'2.1. sz. PMH'!H13+'2.1. sz. PMH'!W13+'2.1. sz. PMH'!AL13+'2.2. sz. Hétszínvirág Óvoda'!E13+'2.2. sz. Hétszínvirág Óvoda'!H13+'2.2. sz. Hétszínvirág Óvoda'!K13+'2.2. sz. Hétszínvirág Óvoda'!N13+'2.2. sz. Hétszínvirág Óvoda'!Q13+'2.2. sz. Hétszínvirág Óvoda'!T13+'2.2. sz. Hétszínvirág Óvoda'!W13+'2.2. sz. Hétszínvirág Óvoda'!Z13+'2.3. sz. Mese Óvoda'!E13+'2.3. sz. Mese Óvoda'!H13+'2.3. sz. Mese Óvoda'!K13+'2.3. sz. Mese Óvoda'!N13+'2.3. sz. Mese Óvoda'!Q13+'2.3. sz. Mese Óvoda'!T13+'2.4. sz. Bölcsőde'!E13+'2.4. sz. Bölcsőde'!H13+'2.4. sz. Bölcsőde'!K13+'2.4. sz. Bölcsőde'!N13+'2.4. sz. Bölcsőde'!Q13+'2.5. sz. Gyermekjóléti'!E13+'2.5. sz. Gyermekjóléti'!H13+'2.5. sz. Gyermekjóléti'!K13+'2.5. sz. Gyermekjóléti'!N13+'2.5. sz. Gyermekjóléti'!Q13+'2.5. sz. Gyermekjóléti'!T13+'2.5. sz. Gyermekjóléti'!W13+'2.6 sz. Területi'!E13+'2.6 sz. Területi'!H13+'2.6 sz. Területi'!K13+'2.6 sz. Területi'!T13+'2.6 sz. Területi'!W13+'2.6 sz. Területi'!AI13+'2.6 sz. Területi'!AL13+'2.6 sz. Területi'!AO13+'2.6 sz. Területi'!AR13+'2.6 sz. Területi'!AU13+'2.6 sz. Területi'!AX13+'2.6 sz. Területi'!BA13+'2.6 sz. Területi'!BD13+'2.6 sz. Területi'!BG13+'2.7. sz. Könyvtár'!E13+'2.7. sz. Könyvtár'!H13+'2.7. sz. Könyvtár'!K13+'2.7. sz. Könyvtár'!N13+'2.7. sz. Könyvtár'!Q13+'2.7. sz. Könyvtár'!T13+'2.7. sz. Könyvtár'!W13+'2.7. sz. Könyvtár'!Z13+'2.8. sz. Műv.Ház'!E13+'2.8. sz. Műv.Ház'!H13+'2.8. sz. Műv.Ház'!K13+'2.8. sz. Műv.Ház'!Q13+'2.8. sz. Műv.Ház'!T13+'2.8. sz. Műv.Ház'!W13+'2.8. sz. Műv.Ház'!Z13+'2.9. sz. Szivárvány Ó.'!E13+'2.9. sz. Szivárvány Ó.'!H13+'2.9. sz. Szivárvány Ó.'!K13+'2.9. sz. Szivárvány Ó.'!N13+'2.9. sz. Szivárvány Ó.'!Q13+'2.9. sz. Szivárvány Ó.'!T13+'2.9. sz. Szivárvány Ó.'!W13</f>
        <v>159332707</v>
      </c>
      <c r="F13" s="6">
        <f>+'2.1. sz. PMH'!AQ13+'2.2. sz. Hétszínvirág Óvoda'!AD13+'2.3. sz. Mese Óvoda'!X13+'2.4. sz. Bölcsőde'!U13+'2.5. sz. Gyermekjóléti'!AA13+'2.6 sz. Területi'!BL13+'2.7. sz. Könyvtár'!AD13+'2.8. sz. Műv.Ház'!AE13+'2.9. sz. Szivárvány Ó.'!AA13</f>
        <v>159332707</v>
      </c>
      <c r="G13" s="6">
        <f>SUMIFS('2.1. sz. PMH'!D13:AL13,'2.1. sz. PMH'!$D$5:$AL$5,"önként vállalt",'2.1. sz. PMH'!$D$3:$AL$3,"Eredeti előirányzat")+SUMIFS('2.2. sz. Hétszínvirág Óvoda'!D13:Z13,'2.2. sz. Hétszínvirág Óvoda'!$D$5:$Z$5,"önként vállalt",'2.2. sz. Hétszínvirág Óvoda'!$D$3:$Z$3,"Eredeti előirányzat")+SUMIFS('2.3. sz. Mese Óvoda'!D13:T13,'2.3. sz. Mese Óvoda'!$D$5:$T$5,"önként vállalt",'2.3. sz. Mese Óvoda'!$D$3:$T$3,"Eredeti előirányzat")+SUMIFS('2.4. sz. Bölcsőde'!D13:Q13,'2.4. sz. Bölcsőde'!$D$5:$Q$5,"önként vállalt",'2.4. sz. Bölcsőde'!$D$3:$Q$3,"Eredeti előirányzat")+SUMIFS('2.5. sz. Gyermekjóléti'!D13:W13,'2.5. sz. Gyermekjóléti'!$D$5:$W$5,"önként vállalt",'2.5. sz. Gyermekjóléti'!$D$3:$W$3,"Eredeti előirányzat")+SUMIFS('2.6 sz. Területi'!D13:BG13,'2.6 sz. Területi'!$D$5:$BG$5,"önként vállalt",'2.6 sz. Területi'!$D$3:$BG$3,"Eredeti előirányzat")+SUMIFS('2.7. sz. Könyvtár'!D13:Z13,'2.7. sz. Könyvtár'!$D$5:$Z$5,"önként vállalt",'2.7. sz. Könyvtár'!$D$3:$Z$3,"Eredeti előirányzat")+SUMIFS('2.8. sz. Műv.Ház'!D13:Z13,'2.8. sz. Műv.Ház'!$D$5:$Z$5,"önként vállalt",'2.8. sz. Műv.Ház'!$D$3:$Z$3,"Eredeti előirányzat")+SUMIFS('2.9. sz. Szivárvány Ó.'!D13:W13,'2.9. sz. Szivárvány Ó.'!$D$5:$W$5,"önként vállalt",'2.9. sz. Szivárvány Ó.'!$D$3:$W$3,"Eredeti előirányzat")</f>
        <v>0</v>
      </c>
      <c r="H13" s="6">
        <f>+'2.6 sz. Területi'!N13+'2.6 sz. Területi'!Q13+'2.6 sz. Területi'!Z13+'2.6 sz. Területi'!AC13+'2.6 sz. Területi'!AF13+'2.8. sz. Műv.Ház'!N13</f>
        <v>0</v>
      </c>
      <c r="I13" s="6">
        <f>+'2.6 sz. Területi'!BM13+'2.8. sz. Műv.Ház'!AF13</f>
        <v>0</v>
      </c>
      <c r="J13" s="6">
        <f>SUMIFS('2.1. sz. PMH'!D13:AL13,'2.1. sz. PMH'!$D$5:$AL$5,"államigazgatási",'2.1. sz. PMH'!$D$3:$AL$3,"Eredeti előirányzat")+SUMIFS('2.2. sz. Hétszínvirág Óvoda'!D13:Z13,'2.2. sz. Hétszínvirág Óvoda'!$D$5:$Z$5,"államigazgatási",'2.2. sz. Hétszínvirág Óvoda'!$D$3:$Z$3,"Eredeti előirányzat")+SUMIFS('2.3. sz. Mese Óvoda'!D13:T13,'2.3. sz. Mese Óvoda'!$D$5:$T$5,"államigazgatási",'2.3. sz. Mese Óvoda'!$D$3:$T$3,"Eredeti előirányzat")+SUMIFS('2.4. sz. Bölcsőde'!D13:Q13,'2.4. sz. Bölcsőde'!$D$5:$Q$5,"államigazgatási",'2.4. sz. Bölcsőde'!$D$3:$Q$3,"Eredeti előirányzat")+SUMIFS('2.5. sz. Gyermekjóléti'!D13:W13,'2.5. sz. Gyermekjóléti'!$D$5:$W$5,"államigazgatási",'2.5. sz. Gyermekjóléti'!$D$3:$W$3,"Eredeti előirányzat")+SUMIFS('2.6 sz. Területi'!D13:BG13,'2.6 sz. Területi'!$D$5:$BG$5,"államigazgatási",'2.6 sz. Területi'!$D$3:$BG$3,"Eredeti előirányzat")+SUMIFS('2.7. sz. Könyvtár'!D13:Z13,'2.7. sz. Könyvtár'!$D$5:$Z$5,"államigazgatási",'2.7. sz. Könyvtár'!$D$3:$Z$3,"Eredeti előirányzat")+SUMIFS('2.8. sz. Műv.Ház'!D13:Z13,'2.8. sz. Műv.Ház'!$D$5:$Z$5,"államigazgatási",'2.8. sz. Műv.Ház'!$D$3:$Z$3,"Eredeti előirányzat")+SUMIFS('2.9. sz. Szivárvány Ó.'!D13:W13,'2.9. sz. Szivárvány Ó.'!$D$5:$W$5,"államigazgatási",'2.9. sz. Szivárvány Ó.'!$D$3:$W$3,"Eredeti előirányzat")</f>
        <v>0</v>
      </c>
      <c r="K13" s="6">
        <f>+'2.1. sz. PMH'!K13+'2.1. sz. PMH'!N13+'2.1. sz. PMH'!Q13+'2.1. sz. PMH'!T13+'2.1. sz. PMH'!Z13+'2.1. sz. PMH'!AC13+'2.1. sz. PMH'!AF13+'2.1. sz. PMH'!AI13</f>
        <v>0</v>
      </c>
      <c r="L13" s="6">
        <f>+'2.1. sz. PMH'!AS13</f>
        <v>0</v>
      </c>
      <c r="M13" s="6">
        <f t="shared" si="0"/>
        <v>0</v>
      </c>
      <c r="N13" s="569">
        <f t="shared" si="1"/>
        <v>159332707</v>
      </c>
      <c r="O13" s="569">
        <f t="shared" si="2"/>
        <v>159332707</v>
      </c>
      <c r="Q13" s="19">
        <f>+'2.1. sz. PMH'!AP13+'2.2. sz. Hétszínvirág Óvoda'!AD13+'2.3. sz. Mese Óvoda'!X13+'2.4. sz. Bölcsőde'!U13+'2.5. sz. Gyermekjóléti'!AA13+'2.6 sz. Területi'!BK13+'2.7. sz. Könyvtár'!AD13+'2.8. sz. Műv.Ház'!AD13+'2.9. sz. Szivárvány Ó.'!AA13</f>
        <v>159332707</v>
      </c>
      <c r="R13" s="80">
        <f t="shared" si="3"/>
        <v>0</v>
      </c>
    </row>
    <row r="14" spans="1:131" ht="23.25" customHeight="1" x14ac:dyDescent="0.25">
      <c r="A14" s="25" t="s">
        <v>196</v>
      </c>
      <c r="B14" s="29" t="s">
        <v>122</v>
      </c>
      <c r="C14" s="26"/>
      <c r="D14" s="6">
        <f>SUMIFS('2.1. sz. PMH'!D14:AL14,'2.1. sz. PMH'!$D$5:$AL$5,"kötelező",'2.1. sz. PMH'!$D$3:$AL$3,"Eredeti előirányzat")+SUMIFS('2.2. sz. Hétszínvirág Óvoda'!D14:Z14,'2.2. sz. Hétszínvirág Óvoda'!$D$5:$Z$5,"kötelező",'2.2. sz. Hétszínvirág Óvoda'!$D$3:$Z$3,"Eredeti előirányzat")+SUMIFS('2.3. sz. Mese Óvoda'!D14:T14,'2.3. sz. Mese Óvoda'!$D$5:$T$5,"kötelező",'2.3. sz. Mese Óvoda'!$D$3:$T$3,"Eredeti előirányzat")+SUMIFS('2.4. sz. Bölcsőde'!D14:Q14,'2.4. sz. Bölcsőde'!$D$5:$Q$5,"kötelező",'2.4. sz. Bölcsőde'!$D$3:$Q$3,"Eredeti előirányzat")+SUMIFS('2.5. sz. Gyermekjóléti'!D14:W14,'2.5. sz. Gyermekjóléti'!$D$5:$W$5,"kötelező",'2.5. sz. Gyermekjóléti'!$D$3:$W$3,"Eredeti előirányzat")+SUMIFS('2.6 sz. Területi'!D14:BG14,'2.6 sz. Területi'!$D$5:$BG$5,"kötelező",'2.6 sz. Területi'!$D$3:$BG$3,"Eredeti előirányzat")+SUMIFS('2.7. sz. Könyvtár'!D14:Z14,'2.7. sz. Könyvtár'!$D$5:$Z$5,"kötelező",'2.7. sz. Könyvtár'!$D$3:$Z$3,"Eredeti előirányzat")+SUMIFS('2.8. sz. Műv.Ház'!D14:Z14,'2.8. sz. Műv.Ház'!$D$5:$Z$5,"kötelező",'2.8. sz. Műv.Ház'!$D$3:$Z$3,"Eredeti előirányzat")+SUMIFS('2.9. sz. Szivárvány Ó.'!D14:W14,'2.9. sz. Szivárvány Ó.'!$D$5:$W$5,"kötelező",'2.9. sz. Szivárvány Ó.'!$D$3:$W$3,"Eredeti előirányzat")</f>
        <v>0</v>
      </c>
      <c r="E14" s="6">
        <f>+'2.1. sz. PMH'!E14+'2.1. sz. PMH'!H14+'2.1. sz. PMH'!W14+'2.1. sz. PMH'!AL14+'2.2. sz. Hétszínvirág Óvoda'!E14+'2.2. sz. Hétszínvirág Óvoda'!H14+'2.2. sz. Hétszínvirág Óvoda'!K14+'2.2. sz. Hétszínvirág Óvoda'!N14+'2.2. sz. Hétszínvirág Óvoda'!Q14+'2.2. sz. Hétszínvirág Óvoda'!T14+'2.2. sz. Hétszínvirág Óvoda'!W14+'2.2. sz. Hétszínvirág Óvoda'!Z14+'2.3. sz. Mese Óvoda'!E14+'2.3. sz. Mese Óvoda'!H14+'2.3. sz. Mese Óvoda'!K14+'2.3. sz. Mese Óvoda'!N14+'2.3. sz. Mese Óvoda'!Q14+'2.3. sz. Mese Óvoda'!T14+'2.4. sz. Bölcsőde'!E14+'2.4. sz. Bölcsőde'!H14+'2.4. sz. Bölcsőde'!K14+'2.4. sz. Bölcsőde'!N14+'2.4. sz. Bölcsőde'!Q14+'2.5. sz. Gyermekjóléti'!E14+'2.5. sz. Gyermekjóléti'!H14+'2.5. sz. Gyermekjóléti'!K14+'2.5. sz. Gyermekjóléti'!N14+'2.5. sz. Gyermekjóléti'!Q14+'2.5. sz. Gyermekjóléti'!T14+'2.5. sz. Gyermekjóléti'!W14+'2.6 sz. Területi'!E14+'2.6 sz. Területi'!H14+'2.6 sz. Területi'!K14+'2.6 sz. Területi'!T14+'2.6 sz. Területi'!W14+'2.6 sz. Területi'!AI14+'2.6 sz. Területi'!AL14+'2.6 sz. Területi'!AO14+'2.6 sz. Területi'!AR14+'2.6 sz. Területi'!AU14+'2.6 sz. Területi'!AX14+'2.6 sz. Területi'!BA14+'2.6 sz. Területi'!BD14+'2.6 sz. Területi'!BG14+'2.7. sz. Könyvtár'!E14+'2.7. sz. Könyvtár'!H14+'2.7. sz. Könyvtár'!K14+'2.7. sz. Könyvtár'!N14+'2.7. sz. Könyvtár'!Q14+'2.7. sz. Könyvtár'!T14+'2.7. sz. Könyvtár'!W14+'2.7. sz. Könyvtár'!Z14+'2.8. sz. Műv.Ház'!E14+'2.8. sz. Műv.Ház'!H14+'2.8. sz. Műv.Ház'!K14+'2.8. sz. Műv.Ház'!Q14+'2.8. sz. Műv.Ház'!T14+'2.8. sz. Műv.Ház'!W14+'2.8. sz. Műv.Ház'!Z14+'2.9. sz. Szivárvány Ó.'!E14+'2.9. sz. Szivárvány Ó.'!H14+'2.9. sz. Szivárvány Ó.'!K14+'2.9. sz. Szivárvány Ó.'!N14+'2.9. sz. Szivárvány Ó.'!Q14+'2.9. sz. Szivárvány Ó.'!T14+'2.9. sz. Szivárvány Ó.'!W14</f>
        <v>0</v>
      </c>
      <c r="F14" s="6">
        <f>+'2.1. sz. PMH'!AQ14+'2.2. sz. Hétszínvirág Óvoda'!AD14+'2.3. sz. Mese Óvoda'!X14+'2.4. sz. Bölcsőde'!U14+'2.5. sz. Gyermekjóléti'!AA14+'2.6 sz. Területi'!BL14+'2.7. sz. Könyvtár'!AD14+'2.8. sz. Műv.Ház'!AE14+'2.9. sz. Szivárvány Ó.'!AA14</f>
        <v>0</v>
      </c>
      <c r="G14" s="6">
        <f>SUMIFS('2.1. sz. PMH'!D14:AL14,'2.1. sz. PMH'!$D$5:$AL$5,"önként vállalt",'2.1. sz. PMH'!$D$3:$AL$3,"Eredeti előirányzat")+SUMIFS('2.2. sz. Hétszínvirág Óvoda'!D14:Z14,'2.2. sz. Hétszínvirág Óvoda'!$D$5:$Z$5,"önként vállalt",'2.2. sz. Hétszínvirág Óvoda'!$D$3:$Z$3,"Eredeti előirányzat")+SUMIFS('2.3. sz. Mese Óvoda'!D14:T14,'2.3. sz. Mese Óvoda'!$D$5:$T$5,"önként vállalt",'2.3. sz. Mese Óvoda'!$D$3:$T$3,"Eredeti előirányzat")+SUMIFS('2.4. sz. Bölcsőde'!D14:Q14,'2.4. sz. Bölcsőde'!$D$5:$Q$5,"önként vállalt",'2.4. sz. Bölcsőde'!$D$3:$Q$3,"Eredeti előirányzat")+SUMIFS('2.5. sz. Gyermekjóléti'!D14:W14,'2.5. sz. Gyermekjóléti'!$D$5:$W$5,"önként vállalt",'2.5. sz. Gyermekjóléti'!$D$3:$W$3,"Eredeti előirányzat")+SUMIFS('2.6 sz. Területi'!D14:BG14,'2.6 sz. Területi'!$D$5:$BG$5,"önként vállalt",'2.6 sz. Területi'!$D$3:$BG$3,"Eredeti előirányzat")+SUMIFS('2.7. sz. Könyvtár'!D14:Z14,'2.7. sz. Könyvtár'!$D$5:$Z$5,"önként vállalt",'2.7. sz. Könyvtár'!$D$3:$Z$3,"Eredeti előirányzat")+SUMIFS('2.8. sz. Műv.Ház'!D14:Z14,'2.8. sz. Műv.Ház'!$D$5:$Z$5,"önként vállalt",'2.8. sz. Műv.Ház'!$D$3:$Z$3,"Eredeti előirányzat")+SUMIFS('2.9. sz. Szivárvány Ó.'!D14:W14,'2.9. sz. Szivárvány Ó.'!$D$5:$W$5,"önként vállalt",'2.9. sz. Szivárvány Ó.'!$D$3:$W$3,"Eredeti előirányzat")</f>
        <v>0</v>
      </c>
      <c r="H14" s="6">
        <f>+'2.6 sz. Területi'!N14+'2.6 sz. Területi'!Q14+'2.6 sz. Területi'!Z14+'2.6 sz. Területi'!AC14+'2.6 sz. Területi'!AF14+'2.8. sz. Műv.Ház'!N14</f>
        <v>0</v>
      </c>
      <c r="I14" s="6">
        <f>+'2.6 sz. Területi'!BM14+'2.8. sz. Műv.Ház'!AF14</f>
        <v>0</v>
      </c>
      <c r="J14" s="6">
        <f>SUMIFS('2.1. sz. PMH'!D14:AL14,'2.1. sz. PMH'!$D$5:$AL$5,"államigazgatási",'2.1. sz. PMH'!$D$3:$AL$3,"Eredeti előirányzat")+SUMIFS('2.2. sz. Hétszínvirág Óvoda'!D14:Z14,'2.2. sz. Hétszínvirág Óvoda'!$D$5:$Z$5,"államigazgatási",'2.2. sz. Hétszínvirág Óvoda'!$D$3:$Z$3,"Eredeti előirányzat")+SUMIFS('2.3. sz. Mese Óvoda'!D14:T14,'2.3. sz. Mese Óvoda'!$D$5:$T$5,"államigazgatási",'2.3. sz. Mese Óvoda'!$D$3:$T$3,"Eredeti előirányzat")+SUMIFS('2.4. sz. Bölcsőde'!D14:Q14,'2.4. sz. Bölcsőde'!$D$5:$Q$5,"államigazgatási",'2.4. sz. Bölcsőde'!$D$3:$Q$3,"Eredeti előirányzat")+SUMIFS('2.5. sz. Gyermekjóléti'!D14:W14,'2.5. sz. Gyermekjóléti'!$D$5:$W$5,"államigazgatási",'2.5. sz. Gyermekjóléti'!$D$3:$W$3,"Eredeti előirányzat")+SUMIFS('2.6 sz. Területi'!D14:BG14,'2.6 sz. Területi'!$D$5:$BG$5,"államigazgatási",'2.6 sz. Területi'!$D$3:$BG$3,"Eredeti előirányzat")+SUMIFS('2.7. sz. Könyvtár'!D14:Z14,'2.7. sz. Könyvtár'!$D$5:$Z$5,"államigazgatási",'2.7. sz. Könyvtár'!$D$3:$Z$3,"Eredeti előirányzat")+SUMIFS('2.8. sz. Műv.Ház'!D14:Z14,'2.8. sz. Műv.Ház'!$D$5:$Z$5,"államigazgatási",'2.8. sz. Műv.Ház'!$D$3:$Z$3,"Eredeti előirányzat")+SUMIFS('2.9. sz. Szivárvány Ó.'!D14:W14,'2.9. sz. Szivárvány Ó.'!$D$5:$W$5,"államigazgatási",'2.9. sz. Szivárvány Ó.'!$D$3:$W$3,"Eredeti előirányzat")</f>
        <v>0</v>
      </c>
      <c r="K14" s="6">
        <f>+'2.1. sz. PMH'!K14+'2.1. sz. PMH'!N14+'2.1. sz. PMH'!Q14+'2.1. sz. PMH'!T14+'2.1. sz. PMH'!Z14+'2.1. sz. PMH'!AC14+'2.1. sz. PMH'!AF14+'2.1. sz. PMH'!AI14</f>
        <v>0</v>
      </c>
      <c r="L14" s="6">
        <f>+'2.1. sz. PMH'!AS14</f>
        <v>0</v>
      </c>
      <c r="M14" s="6">
        <f t="shared" si="0"/>
        <v>0</v>
      </c>
      <c r="N14" s="569">
        <f t="shared" si="1"/>
        <v>0</v>
      </c>
      <c r="O14" s="569">
        <f t="shared" si="2"/>
        <v>0</v>
      </c>
      <c r="Q14" s="19">
        <f>+'2.1. sz. PMH'!AP14+'2.2. sz. Hétszínvirág Óvoda'!AD14+'2.3. sz. Mese Óvoda'!X14+'2.4. sz. Bölcsőde'!U14+'2.5. sz. Gyermekjóléti'!AA14+'2.6 sz. Területi'!BK14+'2.7. sz. Könyvtár'!AD14+'2.8. sz. Műv.Ház'!AD14+'2.9. sz. Szivárvány Ó.'!AA14</f>
        <v>0</v>
      </c>
      <c r="R14" s="80">
        <f t="shared" si="3"/>
        <v>0</v>
      </c>
    </row>
    <row r="15" spans="1:131" ht="23.25" customHeight="1" x14ac:dyDescent="0.25">
      <c r="A15" s="25" t="s">
        <v>197</v>
      </c>
      <c r="B15" s="29" t="s">
        <v>112</v>
      </c>
      <c r="C15" s="30"/>
      <c r="D15" s="6">
        <f>SUMIFS('2.1. sz. PMH'!D15:AL15,'2.1. sz. PMH'!$D$5:$AL$5,"kötelező",'2.1. sz. PMH'!$D$3:$AL$3,"Eredeti előirányzat")+SUMIFS('2.2. sz. Hétszínvirág Óvoda'!D15:Z15,'2.2. sz. Hétszínvirág Óvoda'!$D$5:$Z$5,"kötelező",'2.2. sz. Hétszínvirág Óvoda'!$D$3:$Z$3,"Eredeti előirányzat")+SUMIFS('2.3. sz. Mese Óvoda'!D15:T15,'2.3. sz. Mese Óvoda'!$D$5:$T$5,"kötelező",'2.3. sz. Mese Óvoda'!$D$3:$T$3,"Eredeti előirányzat")+SUMIFS('2.4. sz. Bölcsőde'!D15:Q15,'2.4. sz. Bölcsőde'!$D$5:$Q$5,"kötelező",'2.4. sz. Bölcsőde'!$D$3:$Q$3,"Eredeti előirányzat")+SUMIFS('2.5. sz. Gyermekjóléti'!D15:W15,'2.5. sz. Gyermekjóléti'!$D$5:$W$5,"kötelező",'2.5. sz. Gyermekjóléti'!$D$3:$W$3,"Eredeti előirányzat")+SUMIFS('2.6 sz. Területi'!D15:BG15,'2.6 sz. Területi'!$D$5:$BG$5,"kötelező",'2.6 sz. Területi'!$D$3:$BG$3,"Eredeti előirányzat")+SUMIFS('2.7. sz. Könyvtár'!D15:Z15,'2.7. sz. Könyvtár'!$D$5:$Z$5,"kötelező",'2.7. sz. Könyvtár'!$D$3:$Z$3,"Eredeti előirányzat")+SUMIFS('2.8. sz. Műv.Ház'!D15:Z15,'2.8. sz. Műv.Ház'!$D$5:$Z$5,"kötelező",'2.8. sz. Műv.Ház'!$D$3:$Z$3,"Eredeti előirányzat")+SUMIFS('2.9. sz. Szivárvány Ó.'!D15:W15,'2.9. sz. Szivárvány Ó.'!$D$5:$W$5,"kötelező",'2.9. sz. Szivárvány Ó.'!$D$3:$W$3,"Eredeti előirányzat")</f>
        <v>0</v>
      </c>
      <c r="E15" s="6">
        <f>+'2.1. sz. PMH'!E15+'2.1. sz. PMH'!H15+'2.1. sz. PMH'!W15+'2.1. sz. PMH'!AL15+'2.2. sz. Hétszínvirág Óvoda'!E15+'2.2. sz. Hétszínvirág Óvoda'!H15+'2.2. sz. Hétszínvirág Óvoda'!K15+'2.2. sz. Hétszínvirág Óvoda'!N15+'2.2. sz. Hétszínvirág Óvoda'!Q15+'2.2. sz. Hétszínvirág Óvoda'!T15+'2.2. sz. Hétszínvirág Óvoda'!W15+'2.2. sz. Hétszínvirág Óvoda'!Z15+'2.3. sz. Mese Óvoda'!E15+'2.3. sz. Mese Óvoda'!H15+'2.3. sz. Mese Óvoda'!K15+'2.3. sz. Mese Óvoda'!N15+'2.3. sz. Mese Óvoda'!Q15+'2.3. sz. Mese Óvoda'!T15+'2.4. sz. Bölcsőde'!E15+'2.4. sz. Bölcsőde'!H15+'2.4. sz. Bölcsőde'!K15+'2.4. sz. Bölcsőde'!N15+'2.4. sz. Bölcsőde'!Q15+'2.5. sz. Gyermekjóléti'!E15+'2.5. sz. Gyermekjóléti'!H15+'2.5. sz. Gyermekjóléti'!K15+'2.5. sz. Gyermekjóléti'!N15+'2.5. sz. Gyermekjóléti'!Q15+'2.5. sz. Gyermekjóléti'!T15+'2.5. sz. Gyermekjóléti'!W15+'2.6 sz. Területi'!E15+'2.6 sz. Területi'!H15+'2.6 sz. Területi'!K15+'2.6 sz. Területi'!T15+'2.6 sz. Területi'!W15+'2.6 sz. Területi'!AI15+'2.6 sz. Területi'!AL15+'2.6 sz. Területi'!AO15+'2.6 sz. Területi'!AR15+'2.6 sz. Területi'!AU15+'2.6 sz. Területi'!AX15+'2.6 sz. Területi'!BA15+'2.6 sz. Területi'!BD15+'2.6 sz. Területi'!BG15+'2.7. sz. Könyvtár'!E15+'2.7. sz. Könyvtár'!H15+'2.7. sz. Könyvtár'!K15+'2.7. sz. Könyvtár'!N15+'2.7. sz. Könyvtár'!Q15+'2.7. sz. Könyvtár'!T15+'2.7. sz. Könyvtár'!W15+'2.7. sz. Könyvtár'!Z15+'2.8. sz. Műv.Ház'!E15+'2.8. sz. Műv.Ház'!H15+'2.8. sz. Műv.Ház'!K15+'2.8. sz. Műv.Ház'!Q15+'2.8. sz. Műv.Ház'!T15+'2.8. sz. Műv.Ház'!W15+'2.8. sz. Műv.Ház'!Z15+'2.9. sz. Szivárvány Ó.'!E15+'2.9. sz. Szivárvány Ó.'!H15+'2.9. sz. Szivárvány Ó.'!K15+'2.9. sz. Szivárvány Ó.'!N15+'2.9. sz. Szivárvány Ó.'!Q15+'2.9. sz. Szivárvány Ó.'!T15+'2.9. sz. Szivárvány Ó.'!W15</f>
        <v>0</v>
      </c>
      <c r="F15" s="6">
        <f>+'2.1. sz. PMH'!AQ15+'2.2. sz. Hétszínvirág Óvoda'!AD15+'2.3. sz. Mese Óvoda'!X15+'2.4. sz. Bölcsőde'!U15+'2.5. sz. Gyermekjóléti'!AA15+'2.6 sz. Területi'!BL15+'2.7. sz. Könyvtár'!AD15+'2.8. sz. Műv.Ház'!AE15+'2.9. sz. Szivárvány Ó.'!AA15</f>
        <v>0</v>
      </c>
      <c r="G15" s="6">
        <f>SUMIFS('2.1. sz. PMH'!D15:AL15,'2.1. sz. PMH'!$D$5:$AL$5,"önként vállalt",'2.1. sz. PMH'!$D$3:$AL$3,"Eredeti előirányzat")+SUMIFS('2.2. sz. Hétszínvirág Óvoda'!D15:Z15,'2.2. sz. Hétszínvirág Óvoda'!$D$5:$Z$5,"önként vállalt",'2.2. sz. Hétszínvirág Óvoda'!$D$3:$Z$3,"Eredeti előirányzat")+SUMIFS('2.3. sz. Mese Óvoda'!D15:T15,'2.3. sz. Mese Óvoda'!$D$5:$T$5,"önként vállalt",'2.3. sz. Mese Óvoda'!$D$3:$T$3,"Eredeti előirányzat")+SUMIFS('2.4. sz. Bölcsőde'!D15:Q15,'2.4. sz. Bölcsőde'!$D$5:$Q$5,"önként vállalt",'2.4. sz. Bölcsőde'!$D$3:$Q$3,"Eredeti előirányzat")+SUMIFS('2.5. sz. Gyermekjóléti'!D15:W15,'2.5. sz. Gyermekjóléti'!$D$5:$W$5,"önként vállalt",'2.5. sz. Gyermekjóléti'!$D$3:$W$3,"Eredeti előirányzat")+SUMIFS('2.6 sz. Területi'!D15:BG15,'2.6 sz. Területi'!$D$5:$BG$5,"önként vállalt",'2.6 sz. Területi'!$D$3:$BG$3,"Eredeti előirányzat")+SUMIFS('2.7. sz. Könyvtár'!D15:Z15,'2.7. sz. Könyvtár'!$D$5:$Z$5,"önként vállalt",'2.7. sz. Könyvtár'!$D$3:$Z$3,"Eredeti előirányzat")+SUMIFS('2.8. sz. Műv.Ház'!D15:Z15,'2.8. sz. Műv.Ház'!$D$5:$Z$5,"önként vállalt",'2.8. sz. Műv.Ház'!$D$3:$Z$3,"Eredeti előirányzat")+SUMIFS('2.9. sz. Szivárvány Ó.'!D15:W15,'2.9. sz. Szivárvány Ó.'!$D$5:$W$5,"önként vállalt",'2.9. sz. Szivárvány Ó.'!$D$3:$W$3,"Eredeti előirányzat")</f>
        <v>0</v>
      </c>
      <c r="H15" s="6">
        <f>+'2.6 sz. Területi'!N15+'2.6 sz. Területi'!Q15+'2.6 sz. Területi'!Z15+'2.6 sz. Területi'!AC15+'2.6 sz. Területi'!AF15+'2.8. sz. Műv.Ház'!N15</f>
        <v>0</v>
      </c>
      <c r="I15" s="6">
        <f>+'2.6 sz. Területi'!BM15+'2.8. sz. Műv.Ház'!AF15</f>
        <v>0</v>
      </c>
      <c r="J15" s="6">
        <f>SUMIFS('2.1. sz. PMH'!D15:AL15,'2.1. sz. PMH'!$D$5:$AL$5,"államigazgatási",'2.1. sz. PMH'!$D$3:$AL$3,"Eredeti előirányzat")+SUMIFS('2.2. sz. Hétszínvirág Óvoda'!D15:Z15,'2.2. sz. Hétszínvirág Óvoda'!$D$5:$Z$5,"államigazgatási",'2.2. sz. Hétszínvirág Óvoda'!$D$3:$Z$3,"Eredeti előirányzat")+SUMIFS('2.3. sz. Mese Óvoda'!D15:T15,'2.3. sz. Mese Óvoda'!$D$5:$T$5,"államigazgatási",'2.3. sz. Mese Óvoda'!$D$3:$T$3,"Eredeti előirányzat")+SUMIFS('2.4. sz. Bölcsőde'!D15:Q15,'2.4. sz. Bölcsőde'!$D$5:$Q$5,"államigazgatási",'2.4. sz. Bölcsőde'!$D$3:$Q$3,"Eredeti előirányzat")+SUMIFS('2.5. sz. Gyermekjóléti'!D15:W15,'2.5. sz. Gyermekjóléti'!$D$5:$W$5,"államigazgatási",'2.5. sz. Gyermekjóléti'!$D$3:$W$3,"Eredeti előirányzat")+SUMIFS('2.6 sz. Területi'!D15:BG15,'2.6 sz. Területi'!$D$5:$BG$5,"államigazgatási",'2.6 sz. Területi'!$D$3:$BG$3,"Eredeti előirányzat")+SUMIFS('2.7. sz. Könyvtár'!D15:Z15,'2.7. sz. Könyvtár'!$D$5:$Z$5,"államigazgatási",'2.7. sz. Könyvtár'!$D$3:$Z$3,"Eredeti előirányzat")+SUMIFS('2.8. sz. Műv.Ház'!D15:Z15,'2.8. sz. Műv.Ház'!$D$5:$Z$5,"államigazgatási",'2.8. sz. Műv.Ház'!$D$3:$Z$3,"Eredeti előirányzat")+SUMIFS('2.9. sz. Szivárvány Ó.'!D15:W15,'2.9. sz. Szivárvány Ó.'!$D$5:$W$5,"államigazgatási",'2.9. sz. Szivárvány Ó.'!$D$3:$W$3,"Eredeti előirányzat")</f>
        <v>0</v>
      </c>
      <c r="K15" s="6">
        <f>+'2.1. sz. PMH'!K15+'2.1. sz. PMH'!N15+'2.1. sz. PMH'!Q15+'2.1. sz. PMH'!T15+'2.1. sz. PMH'!Z15+'2.1. sz. PMH'!AC15+'2.1. sz. PMH'!AF15+'2.1. sz. PMH'!AI15</f>
        <v>0</v>
      </c>
      <c r="L15" s="6">
        <f>+'2.1. sz. PMH'!AS15</f>
        <v>0</v>
      </c>
      <c r="M15" s="6">
        <f t="shared" si="0"/>
        <v>0</v>
      </c>
      <c r="N15" s="569">
        <f t="shared" si="1"/>
        <v>0</v>
      </c>
      <c r="O15" s="569">
        <f t="shared" si="2"/>
        <v>0</v>
      </c>
      <c r="Q15" s="19">
        <f>+'2.1. sz. PMH'!AP15+'2.2. sz. Hétszínvirág Óvoda'!AD15+'2.3. sz. Mese Óvoda'!X15+'2.4. sz. Bölcsőde'!U15+'2.5. sz. Gyermekjóléti'!AA15+'2.6 sz. Területi'!BK15+'2.7. sz. Könyvtár'!AD15+'2.8. sz. Műv.Ház'!AD15+'2.9. sz. Szivárvány Ó.'!AA15</f>
        <v>0</v>
      </c>
      <c r="R15" s="80">
        <f t="shared" si="3"/>
        <v>0</v>
      </c>
    </row>
    <row r="16" spans="1:131" ht="23.25" customHeight="1" x14ac:dyDescent="0.25">
      <c r="A16" s="25" t="s">
        <v>198</v>
      </c>
      <c r="B16" s="88" t="s">
        <v>517</v>
      </c>
      <c r="C16" s="30"/>
      <c r="D16" s="6">
        <f>SUMIFS('2.1. sz. PMH'!D16:AL16,'2.1. sz. PMH'!$D$5:$AL$5,"kötelező",'2.1. sz. PMH'!$D$3:$AL$3,"Eredeti előirányzat")+SUMIFS('2.2. sz. Hétszínvirág Óvoda'!D16:Z16,'2.2. sz. Hétszínvirág Óvoda'!$D$5:$Z$5,"kötelező",'2.2. sz. Hétszínvirág Óvoda'!$D$3:$Z$3,"Eredeti előirányzat")+SUMIFS('2.3. sz. Mese Óvoda'!D16:T16,'2.3. sz. Mese Óvoda'!$D$5:$T$5,"kötelező",'2.3. sz. Mese Óvoda'!$D$3:$T$3,"Eredeti előirányzat")+SUMIFS('2.4. sz. Bölcsőde'!D16:Q16,'2.4. sz. Bölcsőde'!$D$5:$Q$5,"kötelező",'2.4. sz. Bölcsőde'!$D$3:$Q$3,"Eredeti előirányzat")+SUMIFS('2.5. sz. Gyermekjóléti'!D16:W16,'2.5. sz. Gyermekjóléti'!$D$5:$W$5,"kötelező",'2.5. sz. Gyermekjóléti'!$D$3:$W$3,"Eredeti előirányzat")+SUMIFS('2.6 sz. Területi'!D16:BG16,'2.6 sz. Területi'!$D$5:$BG$5,"kötelező",'2.6 sz. Területi'!$D$3:$BG$3,"Eredeti előirányzat")+SUMIFS('2.7. sz. Könyvtár'!D16:Z16,'2.7. sz. Könyvtár'!$D$5:$Z$5,"kötelező",'2.7. sz. Könyvtár'!$D$3:$Z$3,"Eredeti előirányzat")+SUMIFS('2.8. sz. Műv.Ház'!D16:Z16,'2.8. sz. Műv.Ház'!$D$5:$Z$5,"kötelező",'2.8. sz. Műv.Ház'!$D$3:$Z$3,"Eredeti előirányzat")+SUMIFS('2.9. sz. Szivárvány Ó.'!D16:W16,'2.9. sz. Szivárvány Ó.'!$D$5:$W$5,"kötelező",'2.9. sz. Szivárvány Ó.'!$D$3:$W$3,"Eredeti előirányzat")</f>
        <v>0</v>
      </c>
      <c r="E16" s="6">
        <f>+'2.1. sz. PMH'!E16+'2.1. sz. PMH'!H16+'2.1. sz. PMH'!W16+'2.1. sz. PMH'!AL16+'2.2. sz. Hétszínvirág Óvoda'!E16+'2.2. sz. Hétszínvirág Óvoda'!H16+'2.2. sz. Hétszínvirág Óvoda'!K16+'2.2. sz. Hétszínvirág Óvoda'!N16+'2.2. sz. Hétszínvirág Óvoda'!Q16+'2.2. sz. Hétszínvirág Óvoda'!T16+'2.2. sz. Hétszínvirág Óvoda'!W16+'2.2. sz. Hétszínvirág Óvoda'!Z16+'2.3. sz. Mese Óvoda'!E16+'2.3. sz. Mese Óvoda'!H16+'2.3. sz. Mese Óvoda'!K16+'2.3. sz. Mese Óvoda'!N16+'2.3. sz. Mese Óvoda'!Q16+'2.3. sz. Mese Óvoda'!T16+'2.4. sz. Bölcsőde'!E16+'2.4. sz. Bölcsőde'!H16+'2.4. sz. Bölcsőde'!K16+'2.4. sz. Bölcsőde'!N16+'2.4. sz. Bölcsőde'!Q16+'2.5. sz. Gyermekjóléti'!E16+'2.5. sz. Gyermekjóléti'!H16+'2.5. sz. Gyermekjóléti'!K16+'2.5. sz. Gyermekjóléti'!N16+'2.5. sz. Gyermekjóléti'!Q16+'2.5. sz. Gyermekjóléti'!T16+'2.5. sz. Gyermekjóléti'!W16+'2.6 sz. Területi'!E16+'2.6 sz. Területi'!H16+'2.6 sz. Területi'!K16+'2.6 sz. Területi'!T16+'2.6 sz. Területi'!W16+'2.6 sz. Területi'!AI16+'2.6 sz. Területi'!AL16+'2.6 sz. Területi'!AO16+'2.6 sz. Területi'!AR16+'2.6 sz. Területi'!AU16+'2.6 sz. Területi'!AX16+'2.6 sz. Területi'!BA16+'2.6 sz. Területi'!BD16+'2.6 sz. Területi'!BG16+'2.7. sz. Könyvtár'!E16+'2.7. sz. Könyvtár'!H16+'2.7. sz. Könyvtár'!K16+'2.7. sz. Könyvtár'!N16+'2.7. sz. Könyvtár'!Q16+'2.7. sz. Könyvtár'!T16+'2.7. sz. Könyvtár'!W16+'2.7. sz. Könyvtár'!Z16+'2.8. sz. Műv.Ház'!E16+'2.8. sz. Műv.Ház'!H16+'2.8. sz. Műv.Ház'!K16+'2.8. sz. Műv.Ház'!Q16+'2.8. sz. Műv.Ház'!T16+'2.8. sz. Műv.Ház'!W16+'2.8. sz. Műv.Ház'!Z16+'2.9. sz. Szivárvány Ó.'!E16+'2.9. sz. Szivárvány Ó.'!H16+'2.9. sz. Szivárvány Ó.'!K16+'2.9. sz. Szivárvány Ó.'!N16+'2.9. sz. Szivárvány Ó.'!Q16+'2.9. sz. Szivárvány Ó.'!T16+'2.9. sz. Szivárvány Ó.'!W16</f>
        <v>159332707</v>
      </c>
      <c r="F16" s="6">
        <f>+'2.1. sz. PMH'!AQ16+'2.2. sz. Hétszínvirág Óvoda'!AD16+'2.3. sz. Mese Óvoda'!X16+'2.4. sz. Bölcsőde'!U16+'2.5. sz. Gyermekjóléti'!AA16+'2.6 sz. Területi'!BL16+'2.7. sz. Könyvtár'!AD16+'2.8. sz. Műv.Ház'!AE16+'2.9. sz. Szivárvány Ó.'!AA16</f>
        <v>159332707</v>
      </c>
      <c r="G16" s="6">
        <f>SUMIFS('2.1. sz. PMH'!D16:AL16,'2.1. sz. PMH'!$D$5:$AL$5,"önként vállalt",'2.1. sz. PMH'!$D$3:$AL$3,"Eredeti előirányzat")+SUMIFS('2.2. sz. Hétszínvirág Óvoda'!D16:Z16,'2.2. sz. Hétszínvirág Óvoda'!$D$5:$Z$5,"önként vállalt",'2.2. sz. Hétszínvirág Óvoda'!$D$3:$Z$3,"Eredeti előirányzat")+SUMIFS('2.3. sz. Mese Óvoda'!D16:T16,'2.3. sz. Mese Óvoda'!$D$5:$T$5,"önként vállalt",'2.3. sz. Mese Óvoda'!$D$3:$T$3,"Eredeti előirányzat")+SUMIFS('2.4. sz. Bölcsőde'!D16:Q16,'2.4. sz. Bölcsőde'!$D$5:$Q$5,"önként vállalt",'2.4. sz. Bölcsőde'!$D$3:$Q$3,"Eredeti előirányzat")+SUMIFS('2.5. sz. Gyermekjóléti'!D16:W16,'2.5. sz. Gyermekjóléti'!$D$5:$W$5,"önként vállalt",'2.5. sz. Gyermekjóléti'!$D$3:$W$3,"Eredeti előirányzat")+SUMIFS('2.6 sz. Területi'!D16:BG16,'2.6 sz. Területi'!$D$5:$BG$5,"önként vállalt",'2.6 sz. Területi'!$D$3:$BG$3,"Eredeti előirányzat")+SUMIFS('2.7. sz. Könyvtár'!D16:Z16,'2.7. sz. Könyvtár'!$D$5:$Z$5,"önként vállalt",'2.7. sz. Könyvtár'!$D$3:$Z$3,"Eredeti előirányzat")+SUMIFS('2.8. sz. Műv.Ház'!D16:Z16,'2.8. sz. Műv.Ház'!$D$5:$Z$5,"önként vállalt",'2.8. sz. Műv.Ház'!$D$3:$Z$3,"Eredeti előirányzat")+SUMIFS('2.9. sz. Szivárvány Ó.'!D16:W16,'2.9. sz. Szivárvány Ó.'!$D$5:$W$5,"önként vállalt",'2.9. sz. Szivárvány Ó.'!$D$3:$W$3,"Eredeti előirányzat")</f>
        <v>0</v>
      </c>
      <c r="H16" s="6">
        <f>+'2.6 sz. Területi'!N16+'2.6 sz. Területi'!Q16+'2.6 sz. Területi'!Z16+'2.6 sz. Területi'!AC16+'2.6 sz. Területi'!AF16+'2.8. sz. Műv.Ház'!N16</f>
        <v>0</v>
      </c>
      <c r="I16" s="6">
        <f>+'2.6 sz. Területi'!BM16+'2.8. sz. Műv.Ház'!AF16</f>
        <v>0</v>
      </c>
      <c r="J16" s="6">
        <f>SUMIFS('2.1. sz. PMH'!D16:AL16,'2.1. sz. PMH'!$D$5:$AL$5,"államigazgatási",'2.1. sz. PMH'!$D$3:$AL$3,"Eredeti előirányzat")+SUMIFS('2.2. sz. Hétszínvirág Óvoda'!D16:Z16,'2.2. sz. Hétszínvirág Óvoda'!$D$5:$Z$5,"államigazgatási",'2.2. sz. Hétszínvirág Óvoda'!$D$3:$Z$3,"Eredeti előirányzat")+SUMIFS('2.3. sz. Mese Óvoda'!D16:T16,'2.3. sz. Mese Óvoda'!$D$5:$T$5,"államigazgatási",'2.3. sz. Mese Óvoda'!$D$3:$T$3,"Eredeti előirányzat")+SUMIFS('2.4. sz. Bölcsőde'!D16:Q16,'2.4. sz. Bölcsőde'!$D$5:$Q$5,"államigazgatási",'2.4. sz. Bölcsőde'!$D$3:$Q$3,"Eredeti előirányzat")+SUMIFS('2.5. sz. Gyermekjóléti'!D16:W16,'2.5. sz. Gyermekjóléti'!$D$5:$W$5,"államigazgatási",'2.5. sz. Gyermekjóléti'!$D$3:$W$3,"Eredeti előirányzat")+SUMIFS('2.6 sz. Területi'!D16:BG16,'2.6 sz. Területi'!$D$5:$BG$5,"államigazgatási",'2.6 sz. Területi'!$D$3:$BG$3,"Eredeti előirányzat")+SUMIFS('2.7. sz. Könyvtár'!D16:Z16,'2.7. sz. Könyvtár'!$D$5:$Z$5,"államigazgatási",'2.7. sz. Könyvtár'!$D$3:$Z$3,"Eredeti előirányzat")+SUMIFS('2.8. sz. Műv.Ház'!D16:Z16,'2.8. sz. Műv.Ház'!$D$5:$Z$5,"államigazgatási",'2.8. sz. Műv.Ház'!$D$3:$Z$3,"Eredeti előirányzat")+SUMIFS('2.9. sz. Szivárvány Ó.'!D16:W16,'2.9. sz. Szivárvány Ó.'!$D$5:$W$5,"államigazgatási",'2.9. sz. Szivárvány Ó.'!$D$3:$W$3,"Eredeti előirányzat")</f>
        <v>0</v>
      </c>
      <c r="K16" s="6">
        <f>+'2.1. sz. PMH'!K16+'2.1. sz. PMH'!N16+'2.1. sz. PMH'!Q16+'2.1. sz. PMH'!T16+'2.1. sz. PMH'!Z16+'2.1. sz. PMH'!AC16+'2.1. sz. PMH'!AF16+'2.1. sz. PMH'!AI16</f>
        <v>0</v>
      </c>
      <c r="L16" s="6">
        <f>+'2.1. sz. PMH'!AS16</f>
        <v>0</v>
      </c>
      <c r="M16" s="6">
        <f t="shared" si="0"/>
        <v>0</v>
      </c>
      <c r="N16" s="569">
        <f t="shared" si="1"/>
        <v>159332707</v>
      </c>
      <c r="O16" s="569">
        <f t="shared" si="2"/>
        <v>159332707</v>
      </c>
      <c r="Q16" s="19">
        <f>+'2.1. sz. PMH'!AP16+'2.2. sz. Hétszínvirág Óvoda'!AD16+'2.3. sz. Mese Óvoda'!X16+'2.4. sz. Bölcsőde'!U16+'2.5. sz. Gyermekjóléti'!AA16+'2.6 sz. Területi'!BK16+'2.7. sz. Könyvtár'!AD16+'2.8. sz. Műv.Ház'!AD16+'2.9. sz. Szivárvány Ó.'!AA16</f>
        <v>159332707</v>
      </c>
      <c r="R16" s="80">
        <f t="shared" si="3"/>
        <v>0</v>
      </c>
    </row>
    <row r="17" spans="1:18" ht="23.25" customHeight="1" x14ac:dyDescent="0.25">
      <c r="A17" s="25" t="s">
        <v>199</v>
      </c>
      <c r="B17" s="31" t="s">
        <v>244</v>
      </c>
      <c r="C17" s="26" t="s">
        <v>208</v>
      </c>
      <c r="D17" s="6">
        <f>SUMIFS('2.1. sz. PMH'!D17:AL17,'2.1. sz. PMH'!$D$5:$AL$5,"kötelező",'2.1. sz. PMH'!$D$3:$AL$3,"Eredeti előirányzat")+SUMIFS('2.2. sz. Hétszínvirág Óvoda'!D17:Z17,'2.2. sz. Hétszínvirág Óvoda'!$D$5:$Z$5,"kötelező",'2.2. sz. Hétszínvirág Óvoda'!$D$3:$Z$3,"Eredeti előirányzat")+SUMIFS('2.3. sz. Mese Óvoda'!D17:T17,'2.3. sz. Mese Óvoda'!$D$5:$T$5,"kötelező",'2.3. sz. Mese Óvoda'!$D$3:$T$3,"Eredeti előirányzat")+SUMIFS('2.4. sz. Bölcsőde'!D17:Q17,'2.4. sz. Bölcsőde'!$D$5:$Q$5,"kötelező",'2.4. sz. Bölcsőde'!$D$3:$Q$3,"Eredeti előirányzat")+SUMIFS('2.5. sz. Gyermekjóléti'!D17:W17,'2.5. sz. Gyermekjóléti'!$D$5:$W$5,"kötelező",'2.5. sz. Gyermekjóléti'!$D$3:$W$3,"Eredeti előirányzat")+SUMIFS('2.6 sz. Területi'!D17:BG17,'2.6 sz. Területi'!$D$5:$BG$5,"kötelező",'2.6 sz. Területi'!$D$3:$BG$3,"Eredeti előirányzat")+SUMIFS('2.7. sz. Könyvtár'!D17:Z17,'2.7. sz. Könyvtár'!$D$5:$Z$5,"kötelező",'2.7. sz. Könyvtár'!$D$3:$Z$3,"Eredeti előirányzat")+SUMIFS('2.8. sz. Műv.Ház'!D17:Z17,'2.8. sz. Műv.Ház'!$D$5:$Z$5,"kötelező",'2.8. sz. Műv.Ház'!$D$3:$Z$3,"Eredeti előirányzat")+SUMIFS('2.9. sz. Szivárvány Ó.'!D17:W17,'2.9. sz. Szivárvány Ó.'!$D$5:$W$5,"kötelező",'2.9. sz. Szivárvány Ó.'!$D$3:$W$3,"Eredeti előirányzat")</f>
        <v>51396015</v>
      </c>
      <c r="E17" s="6">
        <f>+'2.1. sz. PMH'!E17+'2.1. sz. PMH'!H17+'2.1. sz. PMH'!W17+'2.1. sz. PMH'!AL17+'2.2. sz. Hétszínvirág Óvoda'!E17+'2.2. sz. Hétszínvirág Óvoda'!H17+'2.2. sz. Hétszínvirág Óvoda'!K17+'2.2. sz. Hétszínvirág Óvoda'!N17+'2.2. sz. Hétszínvirág Óvoda'!Q17+'2.2. sz. Hétszínvirág Óvoda'!T17+'2.2. sz. Hétszínvirág Óvoda'!W17+'2.2. sz. Hétszínvirág Óvoda'!Z17+'2.3. sz. Mese Óvoda'!E17+'2.3. sz. Mese Óvoda'!H17+'2.3. sz. Mese Óvoda'!K17+'2.3. sz. Mese Óvoda'!N17+'2.3. sz. Mese Óvoda'!Q17+'2.3. sz. Mese Óvoda'!T17+'2.4. sz. Bölcsőde'!E17+'2.4. sz. Bölcsőde'!H17+'2.4. sz. Bölcsőde'!K17+'2.4. sz. Bölcsőde'!N17+'2.4. sz. Bölcsőde'!Q17+'2.5. sz. Gyermekjóléti'!E17+'2.5. sz. Gyermekjóléti'!H17+'2.5. sz. Gyermekjóléti'!K17+'2.5. sz. Gyermekjóléti'!N17+'2.5. sz. Gyermekjóléti'!Q17+'2.5. sz. Gyermekjóléti'!T17+'2.5. sz. Gyermekjóléti'!W17+'2.6 sz. Területi'!E17+'2.6 sz. Területi'!H17+'2.6 sz. Területi'!K17+'2.6 sz. Területi'!T17+'2.6 sz. Területi'!W17+'2.6 sz. Területi'!AI17+'2.6 sz. Területi'!AL17+'2.6 sz. Területi'!AO17+'2.6 sz. Területi'!AR17+'2.6 sz. Területi'!AU17+'2.6 sz. Területi'!AX17+'2.6 sz. Területi'!BA17+'2.6 sz. Területi'!BD17+'2.6 sz. Területi'!BG17+'2.7. sz. Könyvtár'!E17+'2.7. sz. Könyvtár'!H17+'2.7. sz. Könyvtár'!K17+'2.7. sz. Könyvtár'!N17+'2.7. sz. Könyvtár'!Q17+'2.7. sz. Könyvtár'!T17+'2.7. sz. Könyvtár'!W17+'2.7. sz. Könyvtár'!Z17+'2.8. sz. Műv.Ház'!E17+'2.8. sz. Műv.Ház'!H17+'2.8. sz. Műv.Ház'!K17+'2.8. sz. Műv.Ház'!Q17+'2.8. sz. Műv.Ház'!T17+'2.8. sz. Műv.Ház'!W17+'2.8. sz. Műv.Ház'!Z17+'2.9. sz. Szivárvány Ó.'!E17+'2.9. sz. Szivárvány Ó.'!H17+'2.9. sz. Szivárvány Ó.'!K17+'2.9. sz. Szivárvány Ó.'!N17+'2.9. sz. Szivárvány Ó.'!Q17+'2.9. sz. Szivárvány Ó.'!T17+'2.9. sz. Szivárvány Ó.'!W17</f>
        <v>80153896</v>
      </c>
      <c r="F17" s="6">
        <f>+'2.1. sz. PMH'!AQ17+'2.2. sz. Hétszínvirág Óvoda'!AD17+'2.3. sz. Mese Óvoda'!X17+'2.4. sz. Bölcsőde'!U17+'2.5. sz. Gyermekjóléti'!AA17+'2.6 sz. Területi'!BL17+'2.7. sz. Könyvtár'!AD17+'2.8. sz. Műv.Ház'!AE17+'2.9. sz. Szivárvány Ó.'!AA17</f>
        <v>46089651</v>
      </c>
      <c r="G17" s="6">
        <f>SUMIFS('2.1. sz. PMH'!D17:AL17,'2.1. sz. PMH'!$D$5:$AL$5,"önként vállalt",'2.1. sz. PMH'!$D$3:$AL$3,"Eredeti előirányzat")+SUMIFS('2.2. sz. Hétszínvirág Óvoda'!D17:Z17,'2.2. sz. Hétszínvirág Óvoda'!$D$5:$Z$5,"önként vállalt",'2.2. sz. Hétszínvirág Óvoda'!$D$3:$Z$3,"Eredeti előirányzat")+SUMIFS('2.3. sz. Mese Óvoda'!D17:T17,'2.3. sz. Mese Óvoda'!$D$5:$T$5,"önként vállalt",'2.3. sz. Mese Óvoda'!$D$3:$T$3,"Eredeti előirányzat")+SUMIFS('2.4. sz. Bölcsőde'!D17:Q17,'2.4. sz. Bölcsőde'!$D$5:$Q$5,"önként vállalt",'2.4. sz. Bölcsőde'!$D$3:$Q$3,"Eredeti előirányzat")+SUMIFS('2.5. sz. Gyermekjóléti'!D17:W17,'2.5. sz. Gyermekjóléti'!$D$5:$W$5,"önként vállalt",'2.5. sz. Gyermekjóléti'!$D$3:$W$3,"Eredeti előirányzat")+SUMIFS('2.6 sz. Területi'!D17:BG17,'2.6 sz. Területi'!$D$5:$BG$5,"önként vállalt",'2.6 sz. Területi'!$D$3:$BG$3,"Eredeti előirányzat")+SUMIFS('2.7. sz. Könyvtár'!D17:Z17,'2.7. sz. Könyvtár'!$D$5:$Z$5,"önként vállalt",'2.7. sz. Könyvtár'!$D$3:$Z$3,"Eredeti előirányzat")+SUMIFS('2.8. sz. Műv.Ház'!D17:Z17,'2.8. sz. Műv.Ház'!$D$5:$Z$5,"önként vállalt",'2.8. sz. Műv.Ház'!$D$3:$Z$3,"Eredeti előirányzat")+SUMIFS('2.9. sz. Szivárvány Ó.'!D17:W17,'2.9. sz. Szivárvány Ó.'!$D$5:$W$5,"önként vállalt",'2.9. sz. Szivárvány Ó.'!$D$3:$W$3,"Eredeti előirányzat")</f>
        <v>2222500</v>
      </c>
      <c r="H17" s="6">
        <f>+'2.6 sz. Területi'!N17+'2.6 sz. Területi'!Q17+'2.6 sz. Területi'!Z17+'2.6 sz. Területi'!AC17+'2.6 sz. Területi'!AF17+'2.8. sz. Műv.Ház'!N17</f>
        <v>2222500</v>
      </c>
      <c r="I17" s="6">
        <f>+'2.6 sz. Területi'!BM17+'2.8. sz. Műv.Ház'!AF17</f>
        <v>59979</v>
      </c>
      <c r="J17" s="6">
        <f>SUMIFS('2.1. sz. PMH'!D17:AL17,'2.1. sz. PMH'!$D$5:$AL$5,"államigazgatási",'2.1. sz. PMH'!$D$3:$AL$3,"Eredeti előirányzat")+SUMIFS('2.2. sz. Hétszínvirág Óvoda'!D17:Z17,'2.2. sz. Hétszínvirág Óvoda'!$D$5:$Z$5,"államigazgatási",'2.2. sz. Hétszínvirág Óvoda'!$D$3:$Z$3,"Eredeti előirányzat")+SUMIFS('2.3. sz. Mese Óvoda'!D17:T17,'2.3. sz. Mese Óvoda'!$D$5:$T$5,"államigazgatási",'2.3. sz. Mese Óvoda'!$D$3:$T$3,"Eredeti előirányzat")+SUMIFS('2.4. sz. Bölcsőde'!D17:Q17,'2.4. sz. Bölcsőde'!$D$5:$Q$5,"államigazgatási",'2.4. sz. Bölcsőde'!$D$3:$Q$3,"Eredeti előirányzat")+SUMIFS('2.5. sz. Gyermekjóléti'!D17:W17,'2.5. sz. Gyermekjóléti'!$D$5:$W$5,"államigazgatási",'2.5. sz. Gyermekjóléti'!$D$3:$W$3,"Eredeti előirányzat")+SUMIFS('2.6 sz. Területi'!D17:BG17,'2.6 sz. Területi'!$D$5:$BG$5,"államigazgatási",'2.6 sz. Területi'!$D$3:$BG$3,"Eredeti előirányzat")+SUMIFS('2.7. sz. Könyvtár'!D17:Z17,'2.7. sz. Könyvtár'!$D$5:$Z$5,"államigazgatási",'2.7. sz. Könyvtár'!$D$3:$Z$3,"Eredeti előirányzat")+SUMIFS('2.8. sz. Műv.Ház'!D17:Z17,'2.8. sz. Műv.Ház'!$D$5:$Z$5,"államigazgatási",'2.8. sz. Műv.Ház'!$D$3:$Z$3,"Eredeti előirányzat")+SUMIFS('2.9. sz. Szivárvány Ó.'!D17:W17,'2.9. sz. Szivárvány Ó.'!$D$5:$W$5,"államigazgatási",'2.9. sz. Szivárvány Ó.'!$D$3:$W$3,"Eredeti előirányzat")</f>
        <v>7240500</v>
      </c>
      <c r="K17" s="6">
        <f>+'2.1. sz. PMH'!K17+'2.1. sz. PMH'!N17+'2.1. sz. PMH'!Q17+'2.1. sz. PMH'!T17+'2.1. sz. PMH'!Z17+'2.1. sz. PMH'!AC17+'2.1. sz. PMH'!AF17+'2.1. sz. PMH'!AI17</f>
        <v>11280737</v>
      </c>
      <c r="L17" s="6">
        <f>+'2.1. sz. PMH'!AS17</f>
        <v>5283291</v>
      </c>
      <c r="M17" s="6">
        <f t="shared" si="0"/>
        <v>60859015</v>
      </c>
      <c r="N17" s="569">
        <f t="shared" si="1"/>
        <v>93657133</v>
      </c>
      <c r="O17" s="569">
        <f t="shared" si="2"/>
        <v>51432921</v>
      </c>
      <c r="Q17" s="19">
        <f>+'2.1. sz. PMH'!AP17+'2.2. sz. Hétszínvirág Óvoda'!AD17+'2.3. sz. Mese Óvoda'!X17+'2.4. sz. Bölcsőde'!U17+'2.5. sz. Gyermekjóléti'!AA17+'2.6 sz. Területi'!BK17+'2.7. sz. Könyvtár'!AD17+'2.8. sz. Műv.Ház'!AD17+'2.9. sz. Szivárvány Ó.'!AA17</f>
        <v>51432921</v>
      </c>
      <c r="R17" s="80">
        <f t="shared" si="3"/>
        <v>0</v>
      </c>
    </row>
    <row r="18" spans="1:18" ht="23.25" customHeight="1" x14ac:dyDescent="0.25">
      <c r="A18" s="25" t="s">
        <v>200</v>
      </c>
      <c r="B18" s="28" t="s">
        <v>333</v>
      </c>
      <c r="C18" s="26" t="s">
        <v>209</v>
      </c>
      <c r="D18" s="6">
        <f>SUMIFS('2.1. sz. PMH'!D18:AL18,'2.1. sz. PMH'!$D$5:$AL$5,"kötelező",'2.1. sz. PMH'!$D$3:$AL$3,"Eredeti előirányzat")+SUMIFS('2.2. sz. Hétszínvirág Óvoda'!D18:Z18,'2.2. sz. Hétszínvirág Óvoda'!$D$5:$Z$5,"kötelező",'2.2. sz. Hétszínvirág Óvoda'!$D$3:$Z$3,"Eredeti előirányzat")+SUMIFS('2.3. sz. Mese Óvoda'!D18:T18,'2.3. sz. Mese Óvoda'!$D$5:$T$5,"kötelező",'2.3. sz. Mese Óvoda'!$D$3:$T$3,"Eredeti előirányzat")+SUMIFS('2.4. sz. Bölcsőde'!D18:Q18,'2.4. sz. Bölcsőde'!$D$5:$Q$5,"kötelező",'2.4. sz. Bölcsőde'!$D$3:$Q$3,"Eredeti előirányzat")+SUMIFS('2.5. sz. Gyermekjóléti'!D18:W18,'2.5. sz. Gyermekjóléti'!$D$5:$W$5,"kötelező",'2.5. sz. Gyermekjóléti'!$D$3:$W$3,"Eredeti előirányzat")+SUMIFS('2.6 sz. Területi'!D18:BG18,'2.6 sz. Területi'!$D$5:$BG$5,"kötelező",'2.6 sz. Területi'!$D$3:$BG$3,"Eredeti előirányzat")+SUMIFS('2.7. sz. Könyvtár'!D18:Z18,'2.7. sz. Könyvtár'!$D$5:$Z$5,"kötelező",'2.7. sz. Könyvtár'!$D$3:$Z$3,"Eredeti előirányzat")+SUMIFS('2.8. sz. Műv.Ház'!D18:Z18,'2.8. sz. Műv.Ház'!$D$5:$Z$5,"kötelező",'2.8. sz. Műv.Ház'!$D$3:$Z$3,"Eredeti előirányzat")+SUMIFS('2.9. sz. Szivárvány Ó.'!D18:W18,'2.9. sz. Szivárvány Ó.'!$D$5:$W$5,"kötelező",'2.9. sz. Szivárvány Ó.'!$D$3:$W$3,"Eredeti előirányzat")</f>
        <v>0</v>
      </c>
      <c r="E18" s="6">
        <f>+'2.1. sz. PMH'!E18+'2.1. sz. PMH'!H18+'2.1. sz. PMH'!W18+'2.1. sz. PMH'!AL18+'2.2. sz. Hétszínvirág Óvoda'!E18+'2.2. sz. Hétszínvirág Óvoda'!H18+'2.2. sz. Hétszínvirág Óvoda'!K18+'2.2. sz. Hétszínvirág Óvoda'!N18+'2.2. sz. Hétszínvirág Óvoda'!Q18+'2.2. sz. Hétszínvirág Óvoda'!T18+'2.2. sz. Hétszínvirág Óvoda'!W18+'2.2. sz. Hétszínvirág Óvoda'!Z18+'2.3. sz. Mese Óvoda'!E18+'2.3. sz. Mese Óvoda'!H18+'2.3. sz. Mese Óvoda'!K18+'2.3. sz. Mese Óvoda'!N18+'2.3. sz. Mese Óvoda'!Q18+'2.3. sz. Mese Óvoda'!T18+'2.4. sz. Bölcsőde'!E18+'2.4. sz. Bölcsőde'!H18+'2.4. sz. Bölcsőde'!K18+'2.4. sz. Bölcsőde'!N18+'2.4. sz. Bölcsőde'!Q18+'2.5. sz. Gyermekjóléti'!E18+'2.5. sz. Gyermekjóléti'!H18+'2.5. sz. Gyermekjóléti'!K18+'2.5. sz. Gyermekjóléti'!N18+'2.5. sz. Gyermekjóléti'!Q18+'2.5. sz. Gyermekjóléti'!T18+'2.5. sz. Gyermekjóléti'!W18+'2.6 sz. Területi'!E18+'2.6 sz. Területi'!H18+'2.6 sz. Területi'!K18+'2.6 sz. Területi'!T18+'2.6 sz. Területi'!W18+'2.6 sz. Területi'!AI18+'2.6 sz. Területi'!AL18+'2.6 sz. Területi'!AO18+'2.6 sz. Területi'!AR18+'2.6 sz. Területi'!AU18+'2.6 sz. Területi'!AX18+'2.6 sz. Területi'!BA18+'2.6 sz. Területi'!BD18+'2.6 sz. Területi'!BG18+'2.7. sz. Könyvtár'!E18+'2.7. sz. Könyvtár'!H18+'2.7. sz. Könyvtár'!K18+'2.7. sz. Könyvtár'!N18+'2.7. sz. Könyvtár'!Q18+'2.7. sz. Könyvtár'!T18+'2.7. sz. Könyvtár'!W18+'2.7. sz. Könyvtár'!Z18+'2.8. sz. Műv.Ház'!E18+'2.8. sz. Műv.Ház'!H18+'2.8. sz. Műv.Ház'!K18+'2.8. sz. Műv.Ház'!Q18+'2.8. sz. Műv.Ház'!T18+'2.8. sz. Műv.Ház'!W18+'2.8. sz. Műv.Ház'!Z18+'2.9. sz. Szivárvány Ó.'!E18+'2.9. sz. Szivárvány Ó.'!H18+'2.9. sz. Szivárvány Ó.'!K18+'2.9. sz. Szivárvány Ó.'!N18+'2.9. sz. Szivárvány Ó.'!Q18+'2.9. sz. Szivárvány Ó.'!T18+'2.9. sz. Szivárvány Ó.'!W18</f>
        <v>0</v>
      </c>
      <c r="F18" s="6">
        <f>+'2.1. sz. PMH'!AQ18+'2.2. sz. Hétszínvirág Óvoda'!AD18+'2.3. sz. Mese Óvoda'!X18+'2.4. sz. Bölcsőde'!U18+'2.5. sz. Gyermekjóléti'!AA18+'2.6 sz. Területi'!BL18+'2.7. sz. Könyvtár'!AD18+'2.8. sz. Műv.Ház'!AE18+'2.9. sz. Szivárvány Ó.'!AA18</f>
        <v>0</v>
      </c>
      <c r="G18" s="6">
        <f>SUMIFS('2.1. sz. PMH'!D18:AL18,'2.1. sz. PMH'!$D$5:$AL$5,"önként vállalt",'2.1. sz. PMH'!$D$3:$AL$3,"Eredeti előirányzat")+SUMIFS('2.2. sz. Hétszínvirág Óvoda'!D18:Z18,'2.2. sz. Hétszínvirág Óvoda'!$D$5:$Z$5,"önként vállalt",'2.2. sz. Hétszínvirág Óvoda'!$D$3:$Z$3,"Eredeti előirányzat")+SUMIFS('2.3. sz. Mese Óvoda'!D18:T18,'2.3. sz. Mese Óvoda'!$D$5:$T$5,"önként vállalt",'2.3. sz. Mese Óvoda'!$D$3:$T$3,"Eredeti előirányzat")+SUMIFS('2.4. sz. Bölcsőde'!D18:Q18,'2.4. sz. Bölcsőde'!$D$5:$Q$5,"önként vállalt",'2.4. sz. Bölcsőde'!$D$3:$Q$3,"Eredeti előirányzat")+SUMIFS('2.5. sz. Gyermekjóléti'!D18:W18,'2.5. sz. Gyermekjóléti'!$D$5:$W$5,"önként vállalt",'2.5. sz. Gyermekjóléti'!$D$3:$W$3,"Eredeti előirányzat")+SUMIFS('2.6 sz. Területi'!D18:BG18,'2.6 sz. Területi'!$D$5:$BG$5,"önként vállalt",'2.6 sz. Területi'!$D$3:$BG$3,"Eredeti előirányzat")+SUMIFS('2.7. sz. Könyvtár'!D18:Z18,'2.7. sz. Könyvtár'!$D$5:$Z$5,"önként vállalt",'2.7. sz. Könyvtár'!$D$3:$Z$3,"Eredeti előirányzat")+SUMIFS('2.8. sz. Műv.Ház'!D18:Z18,'2.8. sz. Műv.Ház'!$D$5:$Z$5,"önként vállalt",'2.8. sz. Műv.Ház'!$D$3:$Z$3,"Eredeti előirányzat")+SUMIFS('2.9. sz. Szivárvány Ó.'!D18:W18,'2.9. sz. Szivárvány Ó.'!$D$5:$W$5,"önként vállalt",'2.9. sz. Szivárvány Ó.'!$D$3:$W$3,"Eredeti előirányzat")</f>
        <v>0</v>
      </c>
      <c r="H18" s="6">
        <f>+'2.6 sz. Területi'!N18+'2.6 sz. Területi'!Q18+'2.6 sz. Területi'!Z18+'2.6 sz. Területi'!AC18+'2.6 sz. Területi'!AF18+'2.8. sz. Műv.Ház'!N18</f>
        <v>0</v>
      </c>
      <c r="I18" s="6">
        <f>+'2.6 sz. Területi'!BM18+'2.8. sz. Műv.Ház'!AF18</f>
        <v>0</v>
      </c>
      <c r="J18" s="6">
        <f>SUMIFS('2.1. sz. PMH'!D18:AL18,'2.1. sz. PMH'!$D$5:$AL$5,"államigazgatási",'2.1. sz. PMH'!$D$3:$AL$3,"Eredeti előirányzat")+SUMIFS('2.2. sz. Hétszínvirág Óvoda'!D18:Z18,'2.2. sz. Hétszínvirág Óvoda'!$D$5:$Z$5,"államigazgatási",'2.2. sz. Hétszínvirág Óvoda'!$D$3:$Z$3,"Eredeti előirányzat")+SUMIFS('2.3. sz. Mese Óvoda'!D18:T18,'2.3. sz. Mese Óvoda'!$D$5:$T$5,"államigazgatási",'2.3. sz. Mese Óvoda'!$D$3:$T$3,"Eredeti előirányzat")+SUMIFS('2.4. sz. Bölcsőde'!D18:Q18,'2.4. sz. Bölcsőde'!$D$5:$Q$5,"államigazgatási",'2.4. sz. Bölcsőde'!$D$3:$Q$3,"Eredeti előirányzat")+SUMIFS('2.5. sz. Gyermekjóléti'!D18:W18,'2.5. sz. Gyermekjóléti'!$D$5:$W$5,"államigazgatási",'2.5. sz. Gyermekjóléti'!$D$3:$W$3,"Eredeti előirányzat")+SUMIFS('2.6 sz. Területi'!D18:BG18,'2.6 sz. Területi'!$D$5:$BG$5,"államigazgatási",'2.6 sz. Területi'!$D$3:$BG$3,"Eredeti előirányzat")+SUMIFS('2.7. sz. Könyvtár'!D18:Z18,'2.7. sz. Könyvtár'!$D$5:$Z$5,"államigazgatási",'2.7. sz. Könyvtár'!$D$3:$Z$3,"Eredeti előirányzat")+SUMIFS('2.8. sz. Műv.Ház'!D18:Z18,'2.8. sz. Műv.Ház'!$D$5:$Z$5,"államigazgatási",'2.8. sz. Műv.Ház'!$D$3:$Z$3,"Eredeti előirányzat")+SUMIFS('2.9. sz. Szivárvány Ó.'!D18:W18,'2.9. sz. Szivárvány Ó.'!$D$5:$W$5,"államigazgatási",'2.9. sz. Szivárvány Ó.'!$D$3:$W$3,"Eredeti előirányzat")</f>
        <v>0</v>
      </c>
      <c r="K18" s="6">
        <f>+'2.1. sz. PMH'!K18+'2.1. sz. PMH'!N18+'2.1. sz. PMH'!Q18+'2.1. sz. PMH'!T18+'2.1. sz. PMH'!Z18+'2.1. sz. PMH'!AC18+'2.1. sz. PMH'!AF18+'2.1. sz. PMH'!AI18</f>
        <v>0</v>
      </c>
      <c r="L18" s="6">
        <f>+'2.1. sz. PMH'!AS18</f>
        <v>0</v>
      </c>
      <c r="M18" s="6">
        <f t="shared" si="0"/>
        <v>0</v>
      </c>
      <c r="N18" s="569">
        <f t="shared" si="1"/>
        <v>0</v>
      </c>
      <c r="O18" s="569">
        <f t="shared" si="2"/>
        <v>0</v>
      </c>
      <c r="Q18" s="19">
        <f>+'2.1. sz. PMH'!AP18+'2.2. sz. Hétszínvirág Óvoda'!AD18+'2.3. sz. Mese Óvoda'!X18+'2.4. sz. Bölcsőde'!U18+'2.5. sz. Gyermekjóléti'!AA18+'2.6 sz. Területi'!BK18+'2.7. sz. Könyvtár'!AD18+'2.8. sz. Műv.Ház'!AD18+'2.9. sz. Szivárvány Ó.'!AA18</f>
        <v>0</v>
      </c>
      <c r="R18" s="80">
        <f t="shared" si="3"/>
        <v>0</v>
      </c>
    </row>
    <row r="19" spans="1:18" ht="23.25" customHeight="1" x14ac:dyDescent="0.25">
      <c r="A19" s="25" t="s">
        <v>201</v>
      </c>
      <c r="B19" s="28" t="s">
        <v>238</v>
      </c>
      <c r="C19" s="26" t="s">
        <v>210</v>
      </c>
      <c r="D19" s="6">
        <f>SUMIFS('2.1. sz. PMH'!D19:AL19,'2.1. sz. PMH'!$D$5:$AL$5,"kötelező",'2.1. sz. PMH'!$D$3:$AL$3,"Eredeti előirányzat")+SUMIFS('2.2. sz. Hétszínvirág Óvoda'!D19:Z19,'2.2. sz. Hétszínvirág Óvoda'!$D$5:$Z$5,"kötelező",'2.2. sz. Hétszínvirág Óvoda'!$D$3:$Z$3,"Eredeti előirányzat")+SUMIFS('2.3. sz. Mese Óvoda'!D19:T19,'2.3. sz. Mese Óvoda'!$D$5:$T$5,"kötelező",'2.3. sz. Mese Óvoda'!$D$3:$T$3,"Eredeti előirányzat")+SUMIFS('2.4. sz. Bölcsőde'!D19:Q19,'2.4. sz. Bölcsőde'!$D$5:$Q$5,"kötelező",'2.4. sz. Bölcsőde'!$D$3:$Q$3,"Eredeti előirányzat")+SUMIFS('2.5. sz. Gyermekjóléti'!D19:W19,'2.5. sz. Gyermekjóléti'!$D$5:$W$5,"kötelező",'2.5. sz. Gyermekjóléti'!$D$3:$W$3,"Eredeti előirányzat")+SUMIFS('2.6 sz. Területi'!D19:BG19,'2.6 sz. Területi'!$D$5:$BG$5,"kötelező",'2.6 sz. Területi'!$D$3:$BG$3,"Eredeti előirányzat")+SUMIFS('2.7. sz. Könyvtár'!D19:Z19,'2.7. sz. Könyvtár'!$D$5:$Z$5,"kötelező",'2.7. sz. Könyvtár'!$D$3:$Z$3,"Eredeti előirányzat")+SUMIFS('2.8. sz. Műv.Ház'!D19:Z19,'2.8. sz. Műv.Ház'!$D$5:$Z$5,"kötelező",'2.8. sz. Műv.Ház'!$D$3:$Z$3,"Eredeti előirányzat")+SUMIFS('2.9. sz. Szivárvány Ó.'!D19:W19,'2.9. sz. Szivárvány Ó.'!$D$5:$W$5,"kötelező",'2.9. sz. Szivárvány Ó.'!$D$3:$W$3,"Eredeti előirányzat")</f>
        <v>10000000</v>
      </c>
      <c r="E19" s="6">
        <f>+'2.1. sz. PMH'!E19+'2.1. sz. PMH'!H19+'2.1. sz. PMH'!W19+'2.1. sz. PMH'!AL19+'2.2. sz. Hétszínvirág Óvoda'!E19+'2.2. sz. Hétszínvirág Óvoda'!H19+'2.2. sz. Hétszínvirág Óvoda'!K19+'2.2. sz. Hétszínvirág Óvoda'!N19+'2.2. sz. Hétszínvirág Óvoda'!Q19+'2.2. sz. Hétszínvirág Óvoda'!T19+'2.2. sz. Hétszínvirág Óvoda'!W19+'2.2. sz. Hétszínvirág Óvoda'!Z19+'2.3. sz. Mese Óvoda'!E19+'2.3. sz. Mese Óvoda'!H19+'2.3. sz. Mese Óvoda'!K19+'2.3. sz. Mese Óvoda'!N19+'2.3. sz. Mese Óvoda'!Q19+'2.3. sz. Mese Óvoda'!T19+'2.4. sz. Bölcsőde'!E19+'2.4. sz. Bölcsőde'!H19+'2.4. sz. Bölcsőde'!K19+'2.4. sz. Bölcsőde'!N19+'2.4. sz. Bölcsőde'!Q19+'2.5. sz. Gyermekjóléti'!E19+'2.5. sz. Gyermekjóléti'!H19+'2.5. sz. Gyermekjóléti'!K19+'2.5. sz. Gyermekjóléti'!N19+'2.5. sz. Gyermekjóléti'!Q19+'2.5. sz. Gyermekjóléti'!T19+'2.5. sz. Gyermekjóléti'!W19+'2.6 sz. Területi'!E19+'2.6 sz. Területi'!H19+'2.6 sz. Területi'!K19+'2.6 sz. Területi'!T19+'2.6 sz. Területi'!W19+'2.6 sz. Területi'!AI19+'2.6 sz. Területi'!AL19+'2.6 sz. Területi'!AO19+'2.6 sz. Területi'!AR19+'2.6 sz. Területi'!AU19+'2.6 sz. Területi'!AX19+'2.6 sz. Területi'!BA19+'2.6 sz. Területi'!BD19+'2.6 sz. Területi'!BG19+'2.7. sz. Könyvtár'!E19+'2.7. sz. Könyvtár'!H19+'2.7. sz. Könyvtár'!K19+'2.7. sz. Könyvtár'!N19+'2.7. sz. Könyvtár'!Q19+'2.7. sz. Könyvtár'!T19+'2.7. sz. Könyvtár'!W19+'2.7. sz. Könyvtár'!Z19+'2.8. sz. Műv.Ház'!E19+'2.8. sz. Műv.Ház'!H19+'2.8. sz. Műv.Ház'!K19+'2.8. sz. Műv.Ház'!Q19+'2.8. sz. Műv.Ház'!T19+'2.8. sz. Műv.Ház'!W19+'2.8. sz. Műv.Ház'!Z19+'2.9. sz. Szivárvány Ó.'!E19+'2.9. sz. Szivárvány Ó.'!H19+'2.9. sz. Szivárvány Ó.'!K19+'2.9. sz. Szivárvány Ó.'!N19+'2.9. sz. Szivárvány Ó.'!Q19+'2.9. sz. Szivárvány Ó.'!T19+'2.9. sz. Szivárvány Ó.'!W19</f>
        <v>15500000</v>
      </c>
      <c r="F19" s="6">
        <f>+'2.1. sz. PMH'!AQ19+'2.2. sz. Hétszínvirág Óvoda'!AD19+'2.3. sz. Mese Óvoda'!X19+'2.4. sz. Bölcsőde'!U19+'2.5. sz. Gyermekjóléti'!AA19+'2.6 sz. Területi'!BL19+'2.7. sz. Könyvtár'!AD19+'2.8. sz. Műv.Ház'!AE19+'2.9. sz. Szivárvány Ó.'!AA19</f>
        <v>15500000</v>
      </c>
      <c r="G19" s="6">
        <f>SUMIFS('2.1. sz. PMH'!D19:AL19,'2.1. sz. PMH'!$D$5:$AL$5,"önként vállalt",'2.1. sz. PMH'!$D$3:$AL$3,"Eredeti előirányzat")+SUMIFS('2.2. sz. Hétszínvirág Óvoda'!D19:Z19,'2.2. sz. Hétszínvirág Óvoda'!$D$5:$Z$5,"önként vállalt",'2.2. sz. Hétszínvirág Óvoda'!$D$3:$Z$3,"Eredeti előirányzat")+SUMIFS('2.3. sz. Mese Óvoda'!D19:T19,'2.3. sz. Mese Óvoda'!$D$5:$T$5,"önként vállalt",'2.3. sz. Mese Óvoda'!$D$3:$T$3,"Eredeti előirányzat")+SUMIFS('2.4. sz. Bölcsőde'!D19:Q19,'2.4. sz. Bölcsőde'!$D$5:$Q$5,"önként vállalt",'2.4. sz. Bölcsőde'!$D$3:$Q$3,"Eredeti előirányzat")+SUMIFS('2.5. sz. Gyermekjóléti'!D19:W19,'2.5. sz. Gyermekjóléti'!$D$5:$W$5,"önként vállalt",'2.5. sz. Gyermekjóléti'!$D$3:$W$3,"Eredeti előirányzat")+SUMIFS('2.6 sz. Területi'!D19:BG19,'2.6 sz. Területi'!$D$5:$BG$5,"önként vállalt",'2.6 sz. Területi'!$D$3:$BG$3,"Eredeti előirányzat")+SUMIFS('2.7. sz. Könyvtár'!D19:Z19,'2.7. sz. Könyvtár'!$D$5:$Z$5,"önként vállalt",'2.7. sz. Könyvtár'!$D$3:$Z$3,"Eredeti előirányzat")+SUMIFS('2.8. sz. Műv.Ház'!D19:Z19,'2.8. sz. Műv.Ház'!$D$5:$Z$5,"önként vállalt",'2.8. sz. Műv.Ház'!$D$3:$Z$3,"Eredeti előirányzat")+SUMIFS('2.9. sz. Szivárvány Ó.'!D19:W19,'2.9. sz. Szivárvány Ó.'!$D$5:$W$5,"önként vállalt",'2.9. sz. Szivárvány Ó.'!$D$3:$W$3,"Eredeti előirányzat")</f>
        <v>0</v>
      </c>
      <c r="H19" s="6">
        <f>+'2.6 sz. Területi'!N19+'2.6 sz. Területi'!Q19+'2.6 sz. Területi'!Z19+'2.6 sz. Területi'!AC19+'2.6 sz. Területi'!AF19+'2.8. sz. Műv.Ház'!N19</f>
        <v>0</v>
      </c>
      <c r="I19" s="6">
        <f>+'2.6 sz. Területi'!BM19+'2.8. sz. Műv.Ház'!AF19</f>
        <v>0</v>
      </c>
      <c r="J19" s="6">
        <f>SUMIFS('2.1. sz. PMH'!D19:AL19,'2.1. sz. PMH'!$D$5:$AL$5,"államigazgatási",'2.1. sz. PMH'!$D$3:$AL$3,"Eredeti előirányzat")+SUMIFS('2.2. sz. Hétszínvirág Óvoda'!D19:Z19,'2.2. sz. Hétszínvirág Óvoda'!$D$5:$Z$5,"államigazgatási",'2.2. sz. Hétszínvirág Óvoda'!$D$3:$Z$3,"Eredeti előirányzat")+SUMIFS('2.3. sz. Mese Óvoda'!D19:T19,'2.3. sz. Mese Óvoda'!$D$5:$T$5,"államigazgatási",'2.3. sz. Mese Óvoda'!$D$3:$T$3,"Eredeti előirányzat")+SUMIFS('2.4. sz. Bölcsőde'!D19:Q19,'2.4. sz. Bölcsőde'!$D$5:$Q$5,"államigazgatási",'2.4. sz. Bölcsőde'!$D$3:$Q$3,"Eredeti előirányzat")+SUMIFS('2.5. sz. Gyermekjóléti'!D19:W19,'2.5. sz. Gyermekjóléti'!$D$5:$W$5,"államigazgatási",'2.5. sz. Gyermekjóléti'!$D$3:$W$3,"Eredeti előirányzat")+SUMIFS('2.6 sz. Területi'!D19:BG19,'2.6 sz. Területi'!$D$5:$BG$5,"államigazgatási",'2.6 sz. Területi'!$D$3:$BG$3,"Eredeti előirányzat")+SUMIFS('2.7. sz. Könyvtár'!D19:Z19,'2.7. sz. Könyvtár'!$D$5:$Z$5,"államigazgatási",'2.7. sz. Könyvtár'!$D$3:$Z$3,"Eredeti előirányzat")+SUMIFS('2.8. sz. Műv.Ház'!D19:Z19,'2.8. sz. Műv.Ház'!$D$5:$Z$5,"államigazgatási",'2.8. sz. Műv.Ház'!$D$3:$Z$3,"Eredeti előirányzat")+SUMIFS('2.9. sz. Szivárvány Ó.'!D19:W19,'2.9. sz. Szivárvány Ó.'!$D$5:$W$5,"államigazgatási",'2.9. sz. Szivárvány Ó.'!$D$3:$W$3,"Eredeti előirányzat")</f>
        <v>0</v>
      </c>
      <c r="K19" s="6">
        <f>+'2.1. sz. PMH'!K19+'2.1. sz. PMH'!N19+'2.1. sz. PMH'!Q19+'2.1. sz. PMH'!T19+'2.1. sz. PMH'!Z19+'2.1. sz. PMH'!AC19+'2.1. sz. PMH'!AF19+'2.1. sz. PMH'!AI19</f>
        <v>0</v>
      </c>
      <c r="L19" s="6">
        <f>+'2.1. sz. PMH'!AS19</f>
        <v>0</v>
      </c>
      <c r="M19" s="6">
        <f t="shared" si="0"/>
        <v>10000000</v>
      </c>
      <c r="N19" s="569">
        <f t="shared" si="1"/>
        <v>15500000</v>
      </c>
      <c r="O19" s="569">
        <f t="shared" si="2"/>
        <v>15500000</v>
      </c>
      <c r="Q19" s="19">
        <f>+'2.1. sz. PMH'!AP19+'2.2. sz. Hétszínvirág Óvoda'!AD19+'2.3. sz. Mese Óvoda'!X19+'2.4. sz. Bölcsőde'!U19+'2.5. sz. Gyermekjóléti'!AA19+'2.6 sz. Területi'!BK19+'2.7. sz. Könyvtár'!AD19+'2.8. sz. Műv.Ház'!AD19+'2.9. sz. Szivárvány Ó.'!AA19</f>
        <v>15500000</v>
      </c>
      <c r="R19" s="80">
        <f t="shared" si="3"/>
        <v>0</v>
      </c>
    </row>
    <row r="20" spans="1:18" ht="23.25" customHeight="1" x14ac:dyDescent="0.25">
      <c r="A20" s="25" t="s">
        <v>228</v>
      </c>
      <c r="B20" s="29" t="s">
        <v>121</v>
      </c>
      <c r="C20" s="26"/>
      <c r="D20" s="6">
        <f>SUMIFS('2.1. sz. PMH'!D20:AL20,'2.1. sz. PMH'!$D$5:$AL$5,"kötelező",'2.1. sz. PMH'!$D$3:$AL$3,"Eredeti előirányzat")+SUMIFS('2.2. sz. Hétszínvirág Óvoda'!D20:Z20,'2.2. sz. Hétszínvirág Óvoda'!$D$5:$Z$5,"kötelező",'2.2. sz. Hétszínvirág Óvoda'!$D$3:$Z$3,"Eredeti előirányzat")+SUMIFS('2.3. sz. Mese Óvoda'!D20:T20,'2.3. sz. Mese Óvoda'!$D$5:$T$5,"kötelező",'2.3. sz. Mese Óvoda'!$D$3:$T$3,"Eredeti előirányzat")+SUMIFS('2.4. sz. Bölcsőde'!D20:Q20,'2.4. sz. Bölcsőde'!$D$5:$Q$5,"kötelező",'2.4. sz. Bölcsőde'!$D$3:$Q$3,"Eredeti előirányzat")+SUMIFS('2.5. sz. Gyermekjóléti'!D20:W20,'2.5. sz. Gyermekjóléti'!$D$5:$W$5,"kötelező",'2.5. sz. Gyermekjóléti'!$D$3:$W$3,"Eredeti előirányzat")+SUMIFS('2.6 sz. Területi'!D20:BG20,'2.6 sz. Területi'!$D$5:$BG$5,"kötelező",'2.6 sz. Területi'!$D$3:$BG$3,"Eredeti előirányzat")+SUMIFS('2.7. sz. Könyvtár'!D20:Z20,'2.7. sz. Könyvtár'!$D$5:$Z$5,"kötelező",'2.7. sz. Könyvtár'!$D$3:$Z$3,"Eredeti előirányzat")+SUMIFS('2.8. sz. Műv.Ház'!D20:Z20,'2.8. sz. Műv.Ház'!$D$5:$Z$5,"kötelező",'2.8. sz. Műv.Ház'!$D$3:$Z$3,"Eredeti előirányzat")+SUMIFS('2.9. sz. Szivárvány Ó.'!D20:W20,'2.9. sz. Szivárvány Ó.'!$D$5:$W$5,"kötelező",'2.9. sz. Szivárvány Ó.'!$D$3:$W$3,"Eredeti előirányzat")</f>
        <v>10000000</v>
      </c>
      <c r="E20" s="6">
        <f>+'2.1. sz. PMH'!E20+'2.1. sz. PMH'!H20+'2.1. sz. PMH'!W20+'2.1. sz. PMH'!AL20+'2.2. sz. Hétszínvirág Óvoda'!E20+'2.2. sz. Hétszínvirág Óvoda'!H20+'2.2. sz. Hétszínvirág Óvoda'!K20+'2.2. sz. Hétszínvirág Óvoda'!N20+'2.2. sz. Hétszínvirág Óvoda'!Q20+'2.2. sz. Hétszínvirág Óvoda'!T20+'2.2. sz. Hétszínvirág Óvoda'!W20+'2.2. sz. Hétszínvirág Óvoda'!Z20+'2.3. sz. Mese Óvoda'!E20+'2.3. sz. Mese Óvoda'!H20+'2.3. sz. Mese Óvoda'!K20+'2.3. sz. Mese Óvoda'!N20+'2.3. sz. Mese Óvoda'!Q20+'2.3. sz. Mese Óvoda'!T20+'2.4. sz. Bölcsőde'!E20+'2.4. sz. Bölcsőde'!H20+'2.4. sz. Bölcsőde'!K20+'2.4. sz. Bölcsőde'!N20+'2.4. sz. Bölcsőde'!Q20+'2.5. sz. Gyermekjóléti'!E20+'2.5. sz. Gyermekjóléti'!H20+'2.5. sz. Gyermekjóléti'!K20+'2.5. sz. Gyermekjóléti'!N20+'2.5. sz. Gyermekjóléti'!Q20+'2.5. sz. Gyermekjóléti'!T20+'2.5. sz. Gyermekjóléti'!W20+'2.6 sz. Területi'!E20+'2.6 sz. Területi'!H20+'2.6 sz. Területi'!K20+'2.6 sz. Területi'!T20+'2.6 sz. Területi'!W20+'2.6 sz. Területi'!AI20+'2.6 sz. Területi'!AL20+'2.6 sz. Területi'!AO20+'2.6 sz. Területi'!AR20+'2.6 sz. Területi'!AU20+'2.6 sz. Területi'!AX20+'2.6 sz. Területi'!BA20+'2.6 sz. Területi'!BD20+'2.6 sz. Területi'!BG20+'2.7. sz. Könyvtár'!E20+'2.7. sz. Könyvtár'!H20+'2.7. sz. Könyvtár'!K20+'2.7. sz. Könyvtár'!N20+'2.7. sz. Könyvtár'!Q20+'2.7. sz. Könyvtár'!T20+'2.7. sz. Könyvtár'!W20+'2.7. sz. Könyvtár'!Z20+'2.8. sz. Műv.Ház'!E20+'2.8. sz. Műv.Ház'!H20+'2.8. sz. Műv.Ház'!K20+'2.8. sz. Műv.Ház'!Q20+'2.8. sz. Műv.Ház'!T20+'2.8. sz. Műv.Ház'!W20+'2.8. sz. Műv.Ház'!Z20+'2.9. sz. Szivárvány Ó.'!E20+'2.9. sz. Szivárvány Ó.'!H20+'2.9. sz. Szivárvány Ó.'!K20+'2.9. sz. Szivárvány Ó.'!N20+'2.9. sz. Szivárvány Ó.'!Q20+'2.9. sz. Szivárvány Ó.'!T20+'2.9. sz. Szivárvány Ó.'!W20</f>
        <v>15500000</v>
      </c>
      <c r="F20" s="6">
        <f>+'2.1. sz. PMH'!AQ20+'2.2. sz. Hétszínvirág Óvoda'!AD20+'2.3. sz. Mese Óvoda'!X20+'2.4. sz. Bölcsőde'!U20+'2.5. sz. Gyermekjóléti'!AA20+'2.6 sz. Területi'!BL20+'2.7. sz. Könyvtár'!AD20+'2.8. sz. Műv.Ház'!AE20+'2.9. sz. Szivárvány Ó.'!AA20</f>
        <v>15500000</v>
      </c>
      <c r="G20" s="6">
        <f>SUMIFS('2.1. sz. PMH'!D20:AL20,'2.1. sz. PMH'!$D$5:$AL$5,"önként vállalt",'2.1. sz. PMH'!$D$3:$AL$3,"Eredeti előirányzat")+SUMIFS('2.2. sz. Hétszínvirág Óvoda'!D20:Z20,'2.2. sz. Hétszínvirág Óvoda'!$D$5:$Z$5,"önként vállalt",'2.2. sz. Hétszínvirág Óvoda'!$D$3:$Z$3,"Eredeti előirányzat")+SUMIFS('2.3. sz. Mese Óvoda'!D20:T20,'2.3. sz. Mese Óvoda'!$D$5:$T$5,"önként vállalt",'2.3. sz. Mese Óvoda'!$D$3:$T$3,"Eredeti előirányzat")+SUMIFS('2.4. sz. Bölcsőde'!D20:Q20,'2.4. sz. Bölcsőde'!$D$5:$Q$5,"önként vállalt",'2.4. sz. Bölcsőde'!$D$3:$Q$3,"Eredeti előirányzat")+SUMIFS('2.5. sz. Gyermekjóléti'!D20:W20,'2.5. sz. Gyermekjóléti'!$D$5:$W$5,"önként vállalt",'2.5. sz. Gyermekjóléti'!$D$3:$W$3,"Eredeti előirányzat")+SUMIFS('2.6 sz. Területi'!D20:BG20,'2.6 sz. Területi'!$D$5:$BG$5,"önként vállalt",'2.6 sz. Területi'!$D$3:$BG$3,"Eredeti előirányzat")+SUMIFS('2.7. sz. Könyvtár'!D20:Z20,'2.7. sz. Könyvtár'!$D$5:$Z$5,"önként vállalt",'2.7. sz. Könyvtár'!$D$3:$Z$3,"Eredeti előirányzat")+SUMIFS('2.8. sz. Műv.Ház'!D20:Z20,'2.8. sz. Műv.Ház'!$D$5:$Z$5,"önként vállalt",'2.8. sz. Műv.Ház'!$D$3:$Z$3,"Eredeti előirányzat")+SUMIFS('2.9. sz. Szivárvány Ó.'!D20:W20,'2.9. sz. Szivárvány Ó.'!$D$5:$W$5,"önként vállalt",'2.9. sz. Szivárvány Ó.'!$D$3:$W$3,"Eredeti előirányzat")</f>
        <v>0</v>
      </c>
      <c r="H20" s="6">
        <f>+'2.6 sz. Területi'!N20+'2.6 sz. Területi'!Q20+'2.6 sz. Területi'!Z20+'2.6 sz. Területi'!AC20+'2.6 sz. Területi'!AF20+'2.8. sz. Műv.Ház'!N20</f>
        <v>0</v>
      </c>
      <c r="I20" s="6">
        <f>+'2.6 sz. Területi'!BM20+'2.8. sz. Műv.Ház'!AF20</f>
        <v>0</v>
      </c>
      <c r="J20" s="6">
        <f>SUMIFS('2.1. sz. PMH'!D20:AL20,'2.1. sz. PMH'!$D$5:$AL$5,"államigazgatási",'2.1. sz. PMH'!$D$3:$AL$3,"Eredeti előirányzat")+SUMIFS('2.2. sz. Hétszínvirág Óvoda'!D20:Z20,'2.2. sz. Hétszínvirág Óvoda'!$D$5:$Z$5,"államigazgatási",'2.2. sz. Hétszínvirág Óvoda'!$D$3:$Z$3,"Eredeti előirányzat")+SUMIFS('2.3. sz. Mese Óvoda'!D20:T20,'2.3. sz. Mese Óvoda'!$D$5:$T$5,"államigazgatási",'2.3. sz. Mese Óvoda'!$D$3:$T$3,"Eredeti előirányzat")+SUMIFS('2.4. sz. Bölcsőde'!D20:Q20,'2.4. sz. Bölcsőde'!$D$5:$Q$5,"államigazgatási",'2.4. sz. Bölcsőde'!$D$3:$Q$3,"Eredeti előirányzat")+SUMIFS('2.5. sz. Gyermekjóléti'!D20:W20,'2.5. sz. Gyermekjóléti'!$D$5:$W$5,"államigazgatási",'2.5. sz. Gyermekjóléti'!$D$3:$W$3,"Eredeti előirányzat")+SUMIFS('2.6 sz. Területi'!D20:BG20,'2.6 sz. Területi'!$D$5:$BG$5,"államigazgatási",'2.6 sz. Területi'!$D$3:$BG$3,"Eredeti előirányzat")+SUMIFS('2.7. sz. Könyvtár'!D20:Z20,'2.7. sz. Könyvtár'!$D$5:$Z$5,"államigazgatási",'2.7. sz. Könyvtár'!$D$3:$Z$3,"Eredeti előirányzat")+SUMIFS('2.8. sz. Műv.Ház'!D20:Z20,'2.8. sz. Műv.Ház'!$D$5:$Z$5,"államigazgatási",'2.8. sz. Műv.Ház'!$D$3:$Z$3,"Eredeti előirányzat")+SUMIFS('2.9. sz. Szivárvány Ó.'!D20:W20,'2.9. sz. Szivárvány Ó.'!$D$5:$W$5,"államigazgatási",'2.9. sz. Szivárvány Ó.'!$D$3:$W$3,"Eredeti előirányzat")</f>
        <v>0</v>
      </c>
      <c r="K20" s="6">
        <f>+'2.1. sz. PMH'!K20+'2.1. sz. PMH'!N20+'2.1. sz. PMH'!Q20+'2.1. sz. PMH'!T20+'2.1. sz. PMH'!Z20+'2.1. sz. PMH'!AC20+'2.1. sz. PMH'!AF20+'2.1. sz. PMH'!AI20</f>
        <v>0</v>
      </c>
      <c r="L20" s="6">
        <f>+'2.1. sz. PMH'!AS20</f>
        <v>0</v>
      </c>
      <c r="M20" s="6">
        <f t="shared" si="0"/>
        <v>10000000</v>
      </c>
      <c r="N20" s="569">
        <f t="shared" si="1"/>
        <v>15500000</v>
      </c>
      <c r="O20" s="569">
        <f t="shared" si="2"/>
        <v>15500000</v>
      </c>
      <c r="Q20" s="19">
        <f>+'2.1. sz. PMH'!AP20+'2.2. sz. Hétszínvirág Óvoda'!AD20+'2.3. sz. Mese Óvoda'!X20+'2.4. sz. Bölcsőde'!U20+'2.5. sz. Gyermekjóléti'!AA20+'2.6 sz. Területi'!BK20+'2.7. sz. Könyvtár'!AD20+'2.8. sz. Műv.Ház'!AD20+'2.9. sz. Szivárvány Ó.'!AA20</f>
        <v>15500000</v>
      </c>
      <c r="R20" s="80">
        <f t="shared" si="3"/>
        <v>0</v>
      </c>
    </row>
    <row r="21" spans="1:18" ht="23.25" customHeight="1" x14ac:dyDescent="0.25">
      <c r="A21" s="25" t="s">
        <v>229</v>
      </c>
      <c r="B21" s="31" t="s">
        <v>239</v>
      </c>
      <c r="C21" s="26" t="s">
        <v>211</v>
      </c>
      <c r="D21" s="7">
        <f>SUMIFS('2.1. sz. PMH'!D21:AL21,'2.1. sz. PMH'!$D$5:$AL$5,"kötelező",'2.1. sz. PMH'!$D$3:$AL$3,"Eredeti előirányzat")+SUMIFS('2.2. sz. Hétszínvirág Óvoda'!D21:Z21,'2.2. sz. Hétszínvirág Óvoda'!$D$5:$Z$5,"kötelező",'2.2. sz. Hétszínvirág Óvoda'!$D$3:$Z$3,"Eredeti előirányzat")+SUMIFS('2.3. sz. Mese Óvoda'!D21:T21,'2.3. sz. Mese Óvoda'!$D$5:$T$5,"kötelező",'2.3. sz. Mese Óvoda'!$D$3:$T$3,"Eredeti előirányzat")+SUMIFS('2.4. sz. Bölcsőde'!D21:Q21,'2.4. sz. Bölcsőde'!$D$5:$Q$5,"kötelező",'2.4. sz. Bölcsőde'!$D$3:$Q$3,"Eredeti előirányzat")+SUMIFS('2.5. sz. Gyermekjóléti'!D21:W21,'2.5. sz. Gyermekjóléti'!$D$5:$W$5,"kötelező",'2.5. sz. Gyermekjóléti'!$D$3:$W$3,"Eredeti előirányzat")+SUMIFS('2.6 sz. Területi'!D21:BG21,'2.6 sz. Területi'!$D$5:$BG$5,"kötelező",'2.6 sz. Területi'!$D$3:$BG$3,"Eredeti előirányzat")+SUMIFS('2.7. sz. Könyvtár'!D21:Z21,'2.7. sz. Könyvtár'!$D$5:$Z$5,"kötelező",'2.7. sz. Könyvtár'!$D$3:$Z$3,"Eredeti előirányzat")+SUMIFS('2.8. sz. Műv.Ház'!D21:Z21,'2.8. sz. Műv.Ház'!$D$5:$Z$5,"kötelező",'2.8. sz. Műv.Ház'!$D$3:$Z$3,"Eredeti előirányzat")+SUMIFS('2.9. sz. Szivárvány Ó.'!D21:W21,'2.9. sz. Szivárvány Ó.'!$D$5:$W$5,"kötelező",'2.9. sz. Szivárvány Ó.'!$D$3:$W$3,"Eredeti előirányzat")</f>
        <v>3657493407</v>
      </c>
      <c r="E21" s="7">
        <f>+E9+E10+E11+E12+E13+E17+E18+E19</f>
        <v>4118531709</v>
      </c>
      <c r="F21" s="7">
        <f>+'2.1. sz. PMH'!AQ21+'2.2. sz. Hétszínvirág Óvoda'!AD21+'2.3. sz. Mese Óvoda'!X21+'2.4. sz. Bölcsőde'!U21+'2.5. sz. Gyermekjóléti'!AA21+'2.6 sz. Területi'!BL21+'2.7. sz. Könyvtár'!AD21+'2.8. sz. Műv.Ház'!AE21+'2.9. sz. Szivárvány Ó.'!AA21</f>
        <v>3408705890</v>
      </c>
      <c r="G21" s="7">
        <f>SUMIFS('2.1. sz. PMH'!D21:AL21,'2.1. sz. PMH'!$D$5:$AL$5,"önként vállalt",'2.1. sz. PMH'!$D$3:$AL$3,"Eredeti előirányzat")+SUMIFS('2.2. sz. Hétszínvirág Óvoda'!D21:Z21,'2.2. sz. Hétszínvirág Óvoda'!$D$5:$Z$5,"önként vállalt",'2.2. sz. Hétszínvirág Óvoda'!$D$3:$Z$3,"Eredeti előirányzat")+SUMIFS('2.3. sz. Mese Óvoda'!D21:T21,'2.3. sz. Mese Óvoda'!$D$5:$T$5,"önként vállalt",'2.3. sz. Mese Óvoda'!$D$3:$T$3,"Eredeti előirányzat")+SUMIFS('2.4. sz. Bölcsőde'!D21:Q21,'2.4. sz. Bölcsőde'!$D$5:$Q$5,"önként vállalt",'2.4. sz. Bölcsőde'!$D$3:$Q$3,"Eredeti előirányzat")+SUMIFS('2.5. sz. Gyermekjóléti'!D21:W21,'2.5. sz. Gyermekjóléti'!$D$5:$W$5,"önként vállalt",'2.5. sz. Gyermekjóléti'!$D$3:$W$3,"Eredeti előirányzat")+SUMIFS('2.6 sz. Területi'!D21:BG21,'2.6 sz. Területi'!$D$5:$BG$5,"önként vállalt",'2.6 sz. Területi'!$D$3:$BG$3,"Eredeti előirányzat")+SUMIFS('2.7. sz. Könyvtár'!D21:Z21,'2.7. sz. Könyvtár'!$D$5:$Z$5,"önként vállalt",'2.7. sz. Könyvtár'!$D$3:$Z$3,"Eredeti előirányzat")+SUMIFS('2.8. sz. Műv.Ház'!D21:Z21,'2.8. sz. Műv.Ház'!$D$5:$Z$5,"önként vállalt",'2.8. sz. Műv.Ház'!$D$3:$Z$3,"Eredeti előirányzat")+SUMIFS('2.9. sz. Szivárvány Ó.'!D21:W21,'2.9. sz. Szivárvány Ó.'!$D$5:$W$5,"önként vállalt",'2.9. sz. Szivárvány Ó.'!$D$3:$W$3,"Eredeti előirányzat")</f>
        <v>129834970</v>
      </c>
      <c r="H21" s="7">
        <f>+'2.6 sz. Területi'!N21+'2.6 sz. Területi'!Q21+'2.6 sz. Területi'!Z21+'2.6 sz. Területi'!AC21+'2.6 sz. Területi'!AF21+'2.8. sz. Műv.Ház'!N21</f>
        <v>135650913</v>
      </c>
      <c r="I21" s="7">
        <f>+'2.6 sz. Területi'!BM21+'2.8. sz. Műv.Ház'!AF21</f>
        <v>96848615</v>
      </c>
      <c r="J21" s="7">
        <f>SUMIFS('2.1. sz. PMH'!D21:AL21,'2.1. sz. PMH'!$D$5:$AL$5,"államigazgatási",'2.1. sz. PMH'!$D$3:$AL$3,"Eredeti előirányzat")+SUMIFS('2.2. sz. Hétszínvirág Óvoda'!D21:Z21,'2.2. sz. Hétszínvirág Óvoda'!$D$5:$Z$5,"államigazgatási",'2.2. sz. Hétszínvirág Óvoda'!$D$3:$Z$3,"Eredeti előirányzat")+SUMIFS('2.3. sz. Mese Óvoda'!D21:T21,'2.3. sz. Mese Óvoda'!$D$5:$T$5,"államigazgatási",'2.3. sz. Mese Óvoda'!$D$3:$T$3,"Eredeti előirányzat")+SUMIFS('2.4. sz. Bölcsőde'!D21:Q21,'2.4. sz. Bölcsőde'!$D$5:$Q$5,"államigazgatási",'2.4. sz. Bölcsőde'!$D$3:$Q$3,"Eredeti előirányzat")+SUMIFS('2.5. sz. Gyermekjóléti'!D21:W21,'2.5. sz. Gyermekjóléti'!$D$5:$W$5,"államigazgatási",'2.5. sz. Gyermekjóléti'!$D$3:$W$3,"Eredeti előirányzat")+SUMIFS('2.6 sz. Területi'!D21:BG21,'2.6 sz. Területi'!$D$5:$BG$5,"államigazgatási",'2.6 sz. Területi'!$D$3:$BG$3,"Eredeti előirányzat")+SUMIFS('2.7. sz. Könyvtár'!D21:Z21,'2.7. sz. Könyvtár'!$D$5:$Z$5,"államigazgatási",'2.7. sz. Könyvtár'!$D$3:$Z$3,"Eredeti előirányzat")+SUMIFS('2.8. sz. Műv.Ház'!D21:Z21,'2.8. sz. Műv.Ház'!$D$5:$Z$5,"államigazgatási",'2.8. sz. Műv.Ház'!$D$3:$Z$3,"Eredeti előirányzat")+SUMIFS('2.9. sz. Szivárvány Ó.'!D21:W21,'2.9. sz. Szivárvány Ó.'!$D$5:$W$5,"államigazgatási",'2.9. sz. Szivárvány Ó.'!$D$3:$W$3,"Eredeti előirányzat")</f>
        <v>128958177</v>
      </c>
      <c r="K21" s="7">
        <f>+'2.1. sz. PMH'!K21+'2.1. sz. PMH'!N21+'2.1. sz. PMH'!Q21+'2.1. sz. PMH'!T21+'2.1. sz. PMH'!Z21+'2.1. sz. PMH'!AC21+'2.1. sz. PMH'!AF21+'2.1. sz. PMH'!AI21</f>
        <v>169106866</v>
      </c>
      <c r="L21" s="7">
        <f>+'2.1. sz. PMH'!AS21</f>
        <v>125747290</v>
      </c>
      <c r="M21" s="7">
        <f t="shared" si="0"/>
        <v>3916286554</v>
      </c>
      <c r="N21" s="570">
        <f t="shared" si="1"/>
        <v>4423289488</v>
      </c>
      <c r="O21" s="570">
        <f t="shared" si="2"/>
        <v>3631301795</v>
      </c>
      <c r="P21" s="80">
        <f>+J9+J10+J11+J17</f>
        <v>128958177</v>
      </c>
      <c r="Q21" s="19">
        <f>+'2.1. sz. PMH'!AP21+'2.2. sz. Hétszínvirág Óvoda'!AD21+'2.3. sz. Mese Óvoda'!X21+'2.4. sz. Bölcsőde'!U21+'2.5. sz. Gyermekjóléti'!AA21+'2.6 sz. Területi'!BK21+'2.7. sz. Könyvtár'!AD21+'2.8. sz. Műv.Ház'!AD21+'2.9. sz. Szivárvány Ó.'!AA21</f>
        <v>3631301795</v>
      </c>
      <c r="R21" s="80">
        <f t="shared" si="3"/>
        <v>0</v>
      </c>
    </row>
    <row r="22" spans="1:18" ht="23.25" customHeight="1" x14ac:dyDescent="0.25">
      <c r="A22" s="25" t="s">
        <v>230</v>
      </c>
      <c r="B22" s="31" t="s">
        <v>224</v>
      </c>
      <c r="C22" s="26" t="s">
        <v>220</v>
      </c>
      <c r="D22" s="6">
        <f>SUMIFS('2.1. sz. PMH'!D22:AL22,'2.1. sz. PMH'!$D$5:$AL$5,"kötelező",'2.1. sz. PMH'!$D$3:$AL$3,"Eredeti előirányzat")+SUMIFS('2.2. sz. Hétszínvirág Óvoda'!D22:Z22,'2.2. sz. Hétszínvirág Óvoda'!$D$5:$Z$5,"kötelező",'2.2. sz. Hétszínvirág Óvoda'!$D$3:$Z$3,"Eredeti előirányzat")+SUMIFS('2.3. sz. Mese Óvoda'!D22:T22,'2.3. sz. Mese Óvoda'!$D$5:$T$5,"kötelező",'2.3. sz. Mese Óvoda'!$D$3:$T$3,"Eredeti előirányzat")+SUMIFS('2.4. sz. Bölcsőde'!D22:Q22,'2.4. sz. Bölcsőde'!$D$5:$Q$5,"kötelező",'2.4. sz. Bölcsőde'!$D$3:$Q$3,"Eredeti előirányzat")+SUMIFS('2.5. sz. Gyermekjóléti'!D22:W22,'2.5. sz. Gyermekjóléti'!$D$5:$W$5,"kötelező",'2.5. sz. Gyermekjóléti'!$D$3:$W$3,"Eredeti előirányzat")+SUMIFS('2.6 sz. Területi'!D22:BG22,'2.6 sz. Területi'!$D$5:$BG$5,"kötelező",'2.6 sz. Területi'!$D$3:$BG$3,"Eredeti előirányzat")+SUMIFS('2.7. sz. Könyvtár'!D22:Z22,'2.7. sz. Könyvtár'!$D$5:$Z$5,"kötelező",'2.7. sz. Könyvtár'!$D$3:$Z$3,"Eredeti előirányzat")+SUMIFS('2.8. sz. Műv.Ház'!D22:Z22,'2.8. sz. Műv.Ház'!$D$5:$Z$5,"kötelező",'2.8. sz. Műv.Ház'!$D$3:$Z$3,"Eredeti előirányzat")+SUMIFS('2.9. sz. Szivárvány Ó.'!D22:W22,'2.9. sz. Szivárvány Ó.'!$D$5:$W$5,"kötelező",'2.9. sz. Szivárvány Ó.'!$D$3:$W$3,"Eredeti előirányzat")</f>
        <v>0</v>
      </c>
      <c r="E22" s="6">
        <f>+'2.1. sz. PMH'!E22+'2.1. sz. PMH'!H22+'2.1. sz. PMH'!W22+'2.1. sz. PMH'!AL22+'2.2. sz. Hétszínvirág Óvoda'!E22+'2.2. sz. Hétszínvirág Óvoda'!H22+'2.2. sz. Hétszínvirág Óvoda'!K22+'2.2. sz. Hétszínvirág Óvoda'!N22+'2.2. sz. Hétszínvirág Óvoda'!Q22+'2.2. sz. Hétszínvirág Óvoda'!T22+'2.2. sz. Hétszínvirág Óvoda'!W22+'2.2. sz. Hétszínvirág Óvoda'!Z22+'2.3. sz. Mese Óvoda'!E22+'2.3. sz. Mese Óvoda'!H22+'2.3. sz. Mese Óvoda'!K22+'2.3. sz. Mese Óvoda'!N22+'2.3. sz. Mese Óvoda'!Q22+'2.3. sz. Mese Óvoda'!T22+'2.4. sz. Bölcsőde'!E22+'2.4. sz. Bölcsőde'!H22+'2.4. sz. Bölcsőde'!K22+'2.4. sz. Bölcsőde'!N22+'2.4. sz. Bölcsőde'!Q22+'2.5. sz. Gyermekjóléti'!E22+'2.5. sz. Gyermekjóléti'!H22+'2.5. sz. Gyermekjóléti'!K22+'2.5. sz. Gyermekjóléti'!N22+'2.5. sz. Gyermekjóléti'!Q22+'2.5. sz. Gyermekjóléti'!T22+'2.5. sz. Gyermekjóléti'!W22+'2.6 sz. Területi'!E22+'2.6 sz. Területi'!H22+'2.6 sz. Területi'!K22+'2.6 sz. Területi'!T22+'2.6 sz. Területi'!W22+'2.6 sz. Területi'!AI22+'2.6 sz. Területi'!AL22+'2.6 sz. Területi'!AO22+'2.6 sz. Területi'!AR22+'2.6 sz. Területi'!AU22+'2.6 sz. Területi'!AX22+'2.6 sz. Területi'!BA22+'2.6 sz. Területi'!BD22+'2.6 sz. Területi'!BG22+'2.7. sz. Könyvtár'!E22+'2.7. sz. Könyvtár'!H22+'2.7. sz. Könyvtár'!K22+'2.7. sz. Könyvtár'!N22+'2.7. sz. Könyvtár'!Q22+'2.7. sz. Könyvtár'!T22+'2.7. sz. Könyvtár'!W22+'2.7. sz. Könyvtár'!Z22+'2.8. sz. Műv.Ház'!E22+'2.8. sz. Műv.Ház'!H22+'2.8. sz. Műv.Ház'!K22+'2.8. sz. Műv.Ház'!Q22+'2.8. sz. Műv.Ház'!T22+'2.8. sz. Műv.Ház'!W22+'2.8. sz. Műv.Ház'!Z22+'2.9. sz. Szivárvány Ó.'!E22+'2.9. sz. Szivárvány Ó.'!H22+'2.9. sz. Szivárvány Ó.'!K22+'2.9. sz. Szivárvány Ó.'!N22+'2.9. sz. Szivárvány Ó.'!Q22+'2.9. sz. Szivárvány Ó.'!T22+'2.9. sz. Szivárvány Ó.'!W22</f>
        <v>0</v>
      </c>
      <c r="F22" s="6">
        <f>+'2.1. sz. PMH'!AQ22+'2.2. sz. Hétszínvirág Óvoda'!AD22+'2.3. sz. Mese Óvoda'!X22+'2.4. sz. Bölcsőde'!U22+'2.5. sz. Gyermekjóléti'!AA22+'2.6 sz. Területi'!BL22+'2.7. sz. Könyvtár'!AD22+'2.8. sz. Műv.Ház'!AE22+'2.9. sz. Szivárvány Ó.'!AA22</f>
        <v>0</v>
      </c>
      <c r="G22" s="6">
        <f>SUMIFS('2.1. sz. PMH'!D22:AL22,'2.1. sz. PMH'!$D$5:$AL$5,"önként vállalt",'2.1. sz. PMH'!$D$3:$AL$3,"Eredeti előirányzat")+SUMIFS('2.2. sz. Hétszínvirág Óvoda'!D22:Z22,'2.2. sz. Hétszínvirág Óvoda'!$D$5:$Z$5,"önként vállalt",'2.2. sz. Hétszínvirág Óvoda'!$D$3:$Z$3,"Eredeti előirányzat")+SUMIFS('2.3. sz. Mese Óvoda'!D22:T22,'2.3. sz. Mese Óvoda'!$D$5:$T$5,"önként vállalt",'2.3. sz. Mese Óvoda'!$D$3:$T$3,"Eredeti előirányzat")+SUMIFS('2.4. sz. Bölcsőde'!D22:Q22,'2.4. sz. Bölcsőde'!$D$5:$Q$5,"önként vállalt",'2.4. sz. Bölcsőde'!$D$3:$Q$3,"Eredeti előirányzat")+SUMIFS('2.5. sz. Gyermekjóléti'!D22:W22,'2.5. sz. Gyermekjóléti'!$D$5:$W$5,"önként vállalt",'2.5. sz. Gyermekjóléti'!$D$3:$W$3,"Eredeti előirányzat")+SUMIFS('2.6 sz. Területi'!D22:BG22,'2.6 sz. Területi'!$D$5:$BG$5,"önként vállalt",'2.6 sz. Területi'!$D$3:$BG$3,"Eredeti előirányzat")+SUMIFS('2.7. sz. Könyvtár'!D22:Z22,'2.7. sz. Könyvtár'!$D$5:$Z$5,"önként vállalt",'2.7. sz. Könyvtár'!$D$3:$Z$3,"Eredeti előirányzat")+SUMIFS('2.8. sz. Műv.Ház'!D22:Z22,'2.8. sz. Műv.Ház'!$D$5:$Z$5,"önként vállalt",'2.8. sz. Műv.Ház'!$D$3:$Z$3,"Eredeti előirányzat")+SUMIFS('2.9. sz. Szivárvány Ó.'!D22:W22,'2.9. sz. Szivárvány Ó.'!$D$5:$W$5,"önként vállalt",'2.9. sz. Szivárvány Ó.'!$D$3:$W$3,"Eredeti előirányzat")</f>
        <v>0</v>
      </c>
      <c r="H22" s="6">
        <f>+'2.6 sz. Területi'!N22+'2.6 sz. Területi'!Q22+'2.6 sz. Területi'!Z22+'2.6 sz. Területi'!AC22+'2.6 sz. Területi'!AF22+'2.8. sz. Műv.Ház'!N22</f>
        <v>0</v>
      </c>
      <c r="I22" s="6">
        <f>+'2.6 sz. Területi'!BM22+'2.8. sz. Műv.Ház'!AF22</f>
        <v>0</v>
      </c>
      <c r="J22" s="6">
        <f>SUMIFS('2.1. sz. PMH'!D22:AL22,'2.1. sz. PMH'!$D$5:$AL$5,"államigazgatási",'2.1. sz. PMH'!$D$3:$AL$3,"Eredeti előirányzat")+SUMIFS('2.2. sz. Hétszínvirág Óvoda'!D22:Z22,'2.2. sz. Hétszínvirág Óvoda'!$D$5:$Z$5,"államigazgatási",'2.2. sz. Hétszínvirág Óvoda'!$D$3:$Z$3,"Eredeti előirányzat")+SUMIFS('2.3. sz. Mese Óvoda'!D22:T22,'2.3. sz. Mese Óvoda'!$D$5:$T$5,"államigazgatási",'2.3. sz. Mese Óvoda'!$D$3:$T$3,"Eredeti előirányzat")+SUMIFS('2.4. sz. Bölcsőde'!D22:Q22,'2.4. sz. Bölcsőde'!$D$5:$Q$5,"államigazgatási",'2.4. sz. Bölcsőde'!$D$3:$Q$3,"Eredeti előirányzat")+SUMIFS('2.5. sz. Gyermekjóléti'!D22:W22,'2.5. sz. Gyermekjóléti'!$D$5:$W$5,"államigazgatási",'2.5. sz. Gyermekjóléti'!$D$3:$W$3,"Eredeti előirányzat")+SUMIFS('2.6 sz. Területi'!D22:BG22,'2.6 sz. Területi'!$D$5:$BG$5,"államigazgatási",'2.6 sz. Területi'!$D$3:$BG$3,"Eredeti előirányzat")+SUMIFS('2.7. sz. Könyvtár'!D22:Z22,'2.7. sz. Könyvtár'!$D$5:$Z$5,"államigazgatási",'2.7. sz. Könyvtár'!$D$3:$Z$3,"Eredeti előirányzat")+SUMIFS('2.8. sz. Műv.Ház'!D22:Z22,'2.8. sz. Műv.Ház'!$D$5:$Z$5,"államigazgatási",'2.8. sz. Műv.Ház'!$D$3:$Z$3,"Eredeti előirányzat")+SUMIFS('2.9. sz. Szivárvány Ó.'!D22:W22,'2.9. sz. Szivárvány Ó.'!$D$5:$W$5,"államigazgatási",'2.9. sz. Szivárvány Ó.'!$D$3:$W$3,"Eredeti előirányzat")</f>
        <v>0</v>
      </c>
      <c r="K22" s="6">
        <f>+'2.1. sz. PMH'!K22+'2.1. sz. PMH'!N22+'2.1. sz. PMH'!Q22+'2.1. sz. PMH'!T22+'2.1. sz. PMH'!Z22+'2.1. sz. PMH'!AC22+'2.1. sz. PMH'!AF22+'2.1. sz. PMH'!AI22</f>
        <v>0</v>
      </c>
      <c r="L22" s="6">
        <f>+'2.1. sz. PMH'!AS22</f>
        <v>0</v>
      </c>
      <c r="M22" s="6">
        <f t="shared" si="0"/>
        <v>0</v>
      </c>
      <c r="N22" s="569">
        <f t="shared" si="1"/>
        <v>0</v>
      </c>
      <c r="O22" s="569">
        <f t="shared" si="2"/>
        <v>0</v>
      </c>
      <c r="Q22" s="19">
        <f>+'2.1. sz. PMH'!AP22+'2.2. sz. Hétszínvirág Óvoda'!AD22+'2.3. sz. Mese Óvoda'!X22+'2.4. sz. Bölcsőde'!U22+'2.5. sz. Gyermekjóléti'!AA22+'2.6 sz. Területi'!BK22+'2.7. sz. Könyvtár'!AD22+'2.8. sz. Műv.Ház'!AD22+'2.9. sz. Szivárvány Ó.'!AA22</f>
        <v>0</v>
      </c>
      <c r="R22" s="80">
        <f t="shared" si="3"/>
        <v>0</v>
      </c>
    </row>
    <row r="23" spans="1:18" ht="23.25" customHeight="1" x14ac:dyDescent="0.25">
      <c r="A23" s="25" t="s">
        <v>231</v>
      </c>
      <c r="B23" s="90" t="s">
        <v>179</v>
      </c>
      <c r="C23" s="30"/>
      <c r="D23" s="6">
        <f>SUMIFS('2.1. sz. PMH'!D23:AL23,'2.1. sz. PMH'!$D$5:$AL$5,"kötelező",'2.1. sz. PMH'!$D$3:$AL$3,"Eredeti előirányzat")+SUMIFS('2.2. sz. Hétszínvirág Óvoda'!D23:Z23,'2.2. sz. Hétszínvirág Óvoda'!$D$5:$Z$5,"kötelező",'2.2. sz. Hétszínvirág Óvoda'!$D$3:$Z$3,"Eredeti előirányzat")+SUMIFS('2.3. sz. Mese Óvoda'!D23:T23,'2.3. sz. Mese Óvoda'!$D$5:$T$5,"kötelező",'2.3. sz. Mese Óvoda'!$D$3:$T$3,"Eredeti előirányzat")+SUMIFS('2.4. sz. Bölcsőde'!D23:Q23,'2.4. sz. Bölcsőde'!$D$5:$Q$5,"kötelező",'2.4. sz. Bölcsőde'!$D$3:$Q$3,"Eredeti előirányzat")+SUMIFS('2.5. sz. Gyermekjóléti'!D23:W23,'2.5. sz. Gyermekjóléti'!$D$5:$W$5,"kötelező",'2.5. sz. Gyermekjóléti'!$D$3:$W$3,"Eredeti előirányzat")+SUMIFS('2.6 sz. Területi'!D23:BG23,'2.6 sz. Területi'!$D$5:$BG$5,"kötelező",'2.6 sz. Területi'!$D$3:$BG$3,"Eredeti előirányzat")+SUMIFS('2.7. sz. Könyvtár'!D23:Z23,'2.7. sz. Könyvtár'!$D$5:$Z$5,"kötelező",'2.7. sz. Könyvtár'!$D$3:$Z$3,"Eredeti előirányzat")+SUMIFS('2.8. sz. Műv.Ház'!D23:Z23,'2.8. sz. Műv.Ház'!$D$5:$Z$5,"kötelező",'2.8. sz. Műv.Ház'!$D$3:$Z$3,"Eredeti előirányzat")+SUMIFS('2.9. sz. Szivárvány Ó.'!D23:W23,'2.9. sz. Szivárvány Ó.'!$D$5:$W$5,"kötelező",'2.9. sz. Szivárvány Ó.'!$D$3:$W$3,"Eredeti előirányzat")</f>
        <v>0</v>
      </c>
      <c r="E23" s="6">
        <f>+'2.1. sz. PMH'!E23+'2.1. sz. PMH'!H23+'2.1. sz. PMH'!W23+'2.1. sz. PMH'!AL23+'2.2. sz. Hétszínvirág Óvoda'!E23+'2.2. sz. Hétszínvirág Óvoda'!H23+'2.2. sz. Hétszínvirág Óvoda'!K23+'2.2. sz. Hétszínvirág Óvoda'!N23+'2.2. sz. Hétszínvirág Óvoda'!Q23+'2.2. sz. Hétszínvirág Óvoda'!T23+'2.2. sz. Hétszínvirág Óvoda'!W23+'2.2. sz. Hétszínvirág Óvoda'!Z23+'2.3. sz. Mese Óvoda'!E23+'2.3. sz. Mese Óvoda'!H23+'2.3. sz. Mese Óvoda'!K23+'2.3. sz. Mese Óvoda'!N23+'2.3. sz. Mese Óvoda'!Q23+'2.3. sz. Mese Óvoda'!T23+'2.4. sz. Bölcsőde'!E23+'2.4. sz. Bölcsőde'!H23+'2.4. sz. Bölcsőde'!K23+'2.4. sz. Bölcsőde'!N23+'2.4. sz. Bölcsőde'!Q23+'2.5. sz. Gyermekjóléti'!E23+'2.5. sz. Gyermekjóléti'!H23+'2.5. sz. Gyermekjóléti'!K23+'2.5. sz. Gyermekjóléti'!N23+'2.5. sz. Gyermekjóléti'!Q23+'2.5. sz. Gyermekjóléti'!T23+'2.5. sz. Gyermekjóléti'!W23+'2.6 sz. Területi'!E23+'2.6 sz. Területi'!H23+'2.6 sz. Területi'!K23+'2.6 sz. Területi'!T23+'2.6 sz. Területi'!W23+'2.6 sz. Területi'!AI23+'2.6 sz. Területi'!AL23+'2.6 sz. Területi'!AO23+'2.6 sz. Területi'!AR23+'2.6 sz. Területi'!AU23+'2.6 sz. Területi'!AX23+'2.6 sz. Területi'!BA23+'2.6 sz. Területi'!BD23+'2.6 sz. Területi'!BG23+'2.7. sz. Könyvtár'!E23+'2.7. sz. Könyvtár'!H23+'2.7. sz. Könyvtár'!K23+'2.7. sz. Könyvtár'!N23+'2.7. sz. Könyvtár'!Q23+'2.7. sz. Könyvtár'!T23+'2.7. sz. Könyvtár'!W23+'2.7. sz. Könyvtár'!Z23+'2.8. sz. Műv.Ház'!E23+'2.8. sz. Műv.Ház'!H23+'2.8. sz. Műv.Ház'!K23+'2.8. sz. Műv.Ház'!Q23+'2.8. sz. Műv.Ház'!T23+'2.8. sz. Műv.Ház'!W23+'2.8. sz. Műv.Ház'!Z23+'2.9. sz. Szivárvány Ó.'!E23+'2.9. sz. Szivárvány Ó.'!H23+'2.9. sz. Szivárvány Ó.'!K23+'2.9. sz. Szivárvány Ó.'!N23+'2.9. sz. Szivárvány Ó.'!Q23+'2.9. sz. Szivárvány Ó.'!T23+'2.9. sz. Szivárvány Ó.'!W23</f>
        <v>0</v>
      </c>
      <c r="F23" s="6">
        <f>+'2.1. sz. PMH'!AQ23+'2.2. sz. Hétszínvirág Óvoda'!AD23+'2.3. sz. Mese Óvoda'!X23+'2.4. sz. Bölcsőde'!U23+'2.5. sz. Gyermekjóléti'!AA23+'2.6 sz. Területi'!BL23+'2.7. sz. Könyvtár'!AD23+'2.8. sz. Műv.Ház'!AE23+'2.9. sz. Szivárvány Ó.'!AA23</f>
        <v>0</v>
      </c>
      <c r="G23" s="6">
        <f>SUMIFS('2.1. sz. PMH'!D23:AL23,'2.1. sz. PMH'!$D$5:$AL$5,"önként vállalt",'2.1. sz. PMH'!$D$3:$AL$3,"Eredeti előirányzat")+SUMIFS('2.2. sz. Hétszínvirág Óvoda'!D23:Z23,'2.2. sz. Hétszínvirág Óvoda'!$D$5:$Z$5,"önként vállalt",'2.2. sz. Hétszínvirág Óvoda'!$D$3:$Z$3,"Eredeti előirányzat")+SUMIFS('2.3. sz. Mese Óvoda'!D23:T23,'2.3. sz. Mese Óvoda'!$D$5:$T$5,"önként vállalt",'2.3. sz. Mese Óvoda'!$D$3:$T$3,"Eredeti előirányzat")+SUMIFS('2.4. sz. Bölcsőde'!D23:Q23,'2.4. sz. Bölcsőde'!$D$5:$Q$5,"önként vállalt",'2.4. sz. Bölcsőde'!$D$3:$Q$3,"Eredeti előirányzat")+SUMIFS('2.5. sz. Gyermekjóléti'!D23:W23,'2.5. sz. Gyermekjóléti'!$D$5:$W$5,"önként vállalt",'2.5. sz. Gyermekjóléti'!$D$3:$W$3,"Eredeti előirányzat")+SUMIFS('2.6 sz. Területi'!D23:BG23,'2.6 sz. Területi'!$D$5:$BG$5,"önként vállalt",'2.6 sz. Területi'!$D$3:$BG$3,"Eredeti előirányzat")+SUMIFS('2.7. sz. Könyvtár'!D23:Z23,'2.7. sz. Könyvtár'!$D$5:$Z$5,"önként vállalt",'2.7. sz. Könyvtár'!$D$3:$Z$3,"Eredeti előirányzat")+SUMIFS('2.8. sz. Műv.Ház'!D23:Z23,'2.8. sz. Műv.Ház'!$D$5:$Z$5,"önként vállalt",'2.8. sz. Műv.Ház'!$D$3:$Z$3,"Eredeti előirányzat")+SUMIFS('2.9. sz. Szivárvány Ó.'!D23:W23,'2.9. sz. Szivárvány Ó.'!$D$5:$W$5,"önként vállalt",'2.9. sz. Szivárvány Ó.'!$D$3:$W$3,"Eredeti előirányzat")</f>
        <v>0</v>
      </c>
      <c r="H23" s="6">
        <f>+'2.6 sz. Területi'!N23+'2.6 sz. Területi'!Q23+'2.6 sz. Területi'!Z23+'2.6 sz. Területi'!AC23+'2.6 sz. Területi'!AF23+'2.8. sz. Műv.Ház'!N23</f>
        <v>0</v>
      </c>
      <c r="I23" s="6">
        <f>+'2.6 sz. Területi'!BM23+'2.8. sz. Műv.Ház'!AF23</f>
        <v>0</v>
      </c>
      <c r="J23" s="6">
        <f>SUMIFS('2.1. sz. PMH'!D23:AL23,'2.1. sz. PMH'!$D$5:$AL$5,"államigazgatási",'2.1. sz. PMH'!$D$3:$AL$3,"Eredeti előirányzat")+SUMIFS('2.2. sz. Hétszínvirág Óvoda'!D23:Z23,'2.2. sz. Hétszínvirág Óvoda'!$D$5:$Z$5,"államigazgatási",'2.2. sz. Hétszínvirág Óvoda'!$D$3:$Z$3,"Eredeti előirányzat")+SUMIFS('2.3. sz. Mese Óvoda'!D23:T23,'2.3. sz. Mese Óvoda'!$D$5:$T$5,"államigazgatási",'2.3. sz. Mese Óvoda'!$D$3:$T$3,"Eredeti előirányzat")+SUMIFS('2.4. sz. Bölcsőde'!D23:Q23,'2.4. sz. Bölcsőde'!$D$5:$Q$5,"államigazgatási",'2.4. sz. Bölcsőde'!$D$3:$Q$3,"Eredeti előirányzat")+SUMIFS('2.5. sz. Gyermekjóléti'!D23:W23,'2.5. sz. Gyermekjóléti'!$D$5:$W$5,"államigazgatási",'2.5. sz. Gyermekjóléti'!$D$3:$W$3,"Eredeti előirányzat")+SUMIFS('2.6 sz. Területi'!D23:BG23,'2.6 sz. Területi'!$D$5:$BG$5,"államigazgatási",'2.6 sz. Területi'!$D$3:$BG$3,"Eredeti előirányzat")+SUMIFS('2.7. sz. Könyvtár'!D23:Z23,'2.7. sz. Könyvtár'!$D$5:$Z$5,"államigazgatási",'2.7. sz. Könyvtár'!$D$3:$Z$3,"Eredeti előirányzat")+SUMIFS('2.8. sz. Műv.Ház'!D23:Z23,'2.8. sz. Műv.Ház'!$D$5:$Z$5,"államigazgatási",'2.8. sz. Műv.Ház'!$D$3:$Z$3,"Eredeti előirányzat")+SUMIFS('2.9. sz. Szivárvány Ó.'!D23:W23,'2.9. sz. Szivárvány Ó.'!$D$5:$W$5,"államigazgatási",'2.9. sz. Szivárvány Ó.'!$D$3:$W$3,"Eredeti előirányzat")</f>
        <v>0</v>
      </c>
      <c r="K23" s="6">
        <f>+'2.1. sz. PMH'!K23+'2.1. sz. PMH'!N23+'2.1. sz. PMH'!Q23+'2.1. sz. PMH'!T23+'2.1. sz. PMH'!Z23+'2.1. sz. PMH'!AC23+'2.1. sz. PMH'!AF23+'2.1. sz. PMH'!AI23</f>
        <v>0</v>
      </c>
      <c r="L23" s="6">
        <f>+'2.1. sz. PMH'!AS23</f>
        <v>0</v>
      </c>
      <c r="M23" s="6">
        <f t="shared" si="0"/>
        <v>0</v>
      </c>
      <c r="N23" s="569">
        <f t="shared" si="1"/>
        <v>0</v>
      </c>
      <c r="O23" s="569">
        <f t="shared" si="2"/>
        <v>0</v>
      </c>
      <c r="Q23" s="19">
        <f>+'2.1. sz. PMH'!AP23+'2.2. sz. Hétszínvirág Óvoda'!AD23+'2.3. sz. Mese Óvoda'!X23+'2.4. sz. Bölcsőde'!U23+'2.5. sz. Gyermekjóléti'!AA23+'2.6 sz. Területi'!BK23+'2.7. sz. Könyvtár'!AD23+'2.8. sz. Műv.Ház'!AD23+'2.9. sz. Szivárvány Ó.'!AA23</f>
        <v>0</v>
      </c>
      <c r="R23" s="80">
        <f t="shared" si="3"/>
        <v>0</v>
      </c>
    </row>
    <row r="24" spans="1:18" ht="23.25" customHeight="1" x14ac:dyDescent="0.25">
      <c r="A24" s="25" t="s">
        <v>232</v>
      </c>
      <c r="B24" s="32" t="s">
        <v>520</v>
      </c>
      <c r="C24" s="30"/>
      <c r="D24" s="6">
        <f>SUMIFS('2.1. sz. PMH'!D24:AL24,'2.1. sz. PMH'!$D$5:$AL$5,"kötelező",'2.1. sz. PMH'!$D$3:$AL$3,"Eredeti előirányzat")+SUMIFS('2.2. sz. Hétszínvirág Óvoda'!D24:Z24,'2.2. sz. Hétszínvirág Óvoda'!$D$5:$Z$5,"kötelező",'2.2. sz. Hétszínvirág Óvoda'!$D$3:$Z$3,"Eredeti előirányzat")+SUMIFS('2.3. sz. Mese Óvoda'!D24:T24,'2.3. sz. Mese Óvoda'!$D$5:$T$5,"kötelező",'2.3. sz. Mese Óvoda'!$D$3:$T$3,"Eredeti előirányzat")+SUMIFS('2.4. sz. Bölcsőde'!D24:Q24,'2.4. sz. Bölcsőde'!$D$5:$Q$5,"kötelező",'2.4. sz. Bölcsőde'!$D$3:$Q$3,"Eredeti előirányzat")+SUMIFS('2.5. sz. Gyermekjóléti'!D24:W24,'2.5. sz. Gyermekjóléti'!$D$5:$W$5,"kötelező",'2.5. sz. Gyermekjóléti'!$D$3:$W$3,"Eredeti előirányzat")+SUMIFS('2.6 sz. Területi'!D24:BG24,'2.6 sz. Területi'!$D$5:$BG$5,"kötelező",'2.6 sz. Területi'!$D$3:$BG$3,"Eredeti előirányzat")+SUMIFS('2.7. sz. Könyvtár'!D24:Z24,'2.7. sz. Könyvtár'!$D$5:$Z$5,"kötelező",'2.7. sz. Könyvtár'!$D$3:$Z$3,"Eredeti előirányzat")+SUMIFS('2.8. sz. Műv.Ház'!D24:Z24,'2.8. sz. Műv.Ház'!$D$5:$Z$5,"kötelező",'2.8. sz. Műv.Ház'!$D$3:$Z$3,"Eredeti előirányzat")+SUMIFS('2.9. sz. Szivárvány Ó.'!D24:W24,'2.9. sz. Szivárvány Ó.'!$D$5:$W$5,"kötelező",'2.9. sz. Szivárvány Ó.'!$D$3:$W$3,"Eredeti előirányzat")</f>
        <v>0</v>
      </c>
      <c r="E24" s="6">
        <f>+'2.1. sz. PMH'!E24+'2.1. sz. PMH'!H24+'2.1. sz. PMH'!W24+'2.1. sz. PMH'!AL24+'2.2. sz. Hétszínvirág Óvoda'!E24+'2.2. sz. Hétszínvirág Óvoda'!H24+'2.2. sz. Hétszínvirág Óvoda'!K24+'2.2. sz. Hétszínvirág Óvoda'!N24+'2.2. sz. Hétszínvirág Óvoda'!Q24+'2.2. sz. Hétszínvirág Óvoda'!T24+'2.2. sz. Hétszínvirág Óvoda'!W24+'2.2. sz. Hétszínvirág Óvoda'!Z24+'2.3. sz. Mese Óvoda'!E24+'2.3. sz. Mese Óvoda'!H24+'2.3. sz. Mese Óvoda'!K24+'2.3. sz. Mese Óvoda'!N24+'2.3. sz. Mese Óvoda'!Q24+'2.3. sz. Mese Óvoda'!T24+'2.4. sz. Bölcsőde'!E24+'2.4. sz. Bölcsőde'!H24+'2.4. sz. Bölcsőde'!K24+'2.4. sz. Bölcsőde'!N24+'2.4. sz. Bölcsőde'!Q24+'2.5. sz. Gyermekjóléti'!E24+'2.5. sz. Gyermekjóléti'!H24+'2.5. sz. Gyermekjóléti'!K24+'2.5. sz. Gyermekjóléti'!N24+'2.5. sz. Gyermekjóléti'!Q24+'2.5. sz. Gyermekjóléti'!T24+'2.5. sz. Gyermekjóléti'!W24+'2.6 sz. Területi'!E24+'2.6 sz. Területi'!H24+'2.6 sz. Területi'!K24+'2.6 sz. Területi'!T24+'2.6 sz. Területi'!W24+'2.6 sz. Területi'!AI24+'2.6 sz. Területi'!AL24+'2.6 sz. Területi'!AO24+'2.6 sz. Területi'!AR24+'2.6 sz. Területi'!AU24+'2.6 sz. Területi'!AX24+'2.6 sz. Területi'!BA24+'2.6 sz. Területi'!BD24+'2.6 sz. Területi'!BG24+'2.7. sz. Könyvtár'!E24+'2.7. sz. Könyvtár'!H24+'2.7. sz. Könyvtár'!K24+'2.7. sz. Könyvtár'!N24+'2.7. sz. Könyvtár'!Q24+'2.7. sz. Könyvtár'!T24+'2.7. sz. Könyvtár'!W24+'2.7. sz. Könyvtár'!Z24+'2.8. sz. Műv.Ház'!E24+'2.8. sz. Műv.Ház'!H24+'2.8. sz. Műv.Ház'!K24+'2.8. sz. Műv.Ház'!Q24+'2.8. sz. Műv.Ház'!T24+'2.8. sz. Műv.Ház'!W24+'2.8. sz. Műv.Ház'!Z24+'2.9. sz. Szivárvány Ó.'!E24+'2.9. sz. Szivárvány Ó.'!H24+'2.9. sz. Szivárvány Ó.'!K24+'2.9. sz. Szivárvány Ó.'!N24+'2.9. sz. Szivárvány Ó.'!Q24+'2.9. sz. Szivárvány Ó.'!T24+'2.9. sz. Szivárvány Ó.'!W24</f>
        <v>0</v>
      </c>
      <c r="F24" s="6">
        <f>+'2.1. sz. PMH'!AQ24+'2.2. sz. Hétszínvirág Óvoda'!AD24+'2.3. sz. Mese Óvoda'!X24+'2.4. sz. Bölcsőde'!U24+'2.5. sz. Gyermekjóléti'!AA24+'2.6 sz. Területi'!BL24+'2.7. sz. Könyvtár'!AD24+'2.8. sz. Műv.Ház'!AE24+'2.9. sz. Szivárvány Ó.'!AA24</f>
        <v>0</v>
      </c>
      <c r="G24" s="6">
        <f>SUMIFS('2.1. sz. PMH'!D24:AL24,'2.1. sz. PMH'!$D$5:$AL$5,"önként vállalt",'2.1. sz. PMH'!$D$3:$AL$3,"Eredeti előirányzat")+SUMIFS('2.2. sz. Hétszínvirág Óvoda'!D24:Z24,'2.2. sz. Hétszínvirág Óvoda'!$D$5:$Z$5,"önként vállalt",'2.2. sz. Hétszínvirág Óvoda'!$D$3:$Z$3,"Eredeti előirányzat")+SUMIFS('2.3. sz. Mese Óvoda'!D24:T24,'2.3. sz. Mese Óvoda'!$D$5:$T$5,"önként vállalt",'2.3. sz. Mese Óvoda'!$D$3:$T$3,"Eredeti előirányzat")+SUMIFS('2.4. sz. Bölcsőde'!D24:Q24,'2.4. sz. Bölcsőde'!$D$5:$Q$5,"önként vállalt",'2.4. sz. Bölcsőde'!$D$3:$Q$3,"Eredeti előirányzat")+SUMIFS('2.5. sz. Gyermekjóléti'!D24:W24,'2.5. sz. Gyermekjóléti'!$D$5:$W$5,"önként vállalt",'2.5. sz. Gyermekjóléti'!$D$3:$W$3,"Eredeti előirányzat")+SUMIFS('2.6 sz. Területi'!D24:BG24,'2.6 sz. Területi'!$D$5:$BG$5,"önként vállalt",'2.6 sz. Területi'!$D$3:$BG$3,"Eredeti előirányzat")+SUMIFS('2.7. sz. Könyvtár'!D24:Z24,'2.7. sz. Könyvtár'!$D$5:$Z$5,"önként vállalt",'2.7. sz. Könyvtár'!$D$3:$Z$3,"Eredeti előirányzat")+SUMIFS('2.8. sz. Műv.Ház'!D24:Z24,'2.8. sz. Műv.Ház'!$D$5:$Z$5,"önként vállalt",'2.8. sz. Műv.Ház'!$D$3:$Z$3,"Eredeti előirányzat")+SUMIFS('2.9. sz. Szivárvány Ó.'!D24:W24,'2.9. sz. Szivárvány Ó.'!$D$5:$W$5,"önként vállalt",'2.9. sz. Szivárvány Ó.'!$D$3:$W$3,"Eredeti előirányzat")</f>
        <v>0</v>
      </c>
      <c r="H24" s="6">
        <f>+'2.6 sz. Területi'!N24+'2.6 sz. Területi'!Q24+'2.6 sz. Területi'!Z24+'2.6 sz. Területi'!AC24+'2.6 sz. Területi'!AF24+'2.8. sz. Műv.Ház'!N24</f>
        <v>0</v>
      </c>
      <c r="I24" s="6">
        <f>+'2.6 sz. Területi'!BM24+'2.8. sz. Műv.Ház'!AF24</f>
        <v>0</v>
      </c>
      <c r="J24" s="6">
        <f>SUMIFS('2.1. sz. PMH'!D24:AL24,'2.1. sz. PMH'!$D$5:$AL$5,"államigazgatási",'2.1. sz. PMH'!$D$3:$AL$3,"Eredeti előirányzat")+SUMIFS('2.2. sz. Hétszínvirág Óvoda'!D24:Z24,'2.2. sz. Hétszínvirág Óvoda'!$D$5:$Z$5,"államigazgatási",'2.2. sz. Hétszínvirág Óvoda'!$D$3:$Z$3,"Eredeti előirányzat")+SUMIFS('2.3. sz. Mese Óvoda'!D24:T24,'2.3. sz. Mese Óvoda'!$D$5:$T$5,"államigazgatási",'2.3. sz. Mese Óvoda'!$D$3:$T$3,"Eredeti előirányzat")+SUMIFS('2.4. sz. Bölcsőde'!D24:Q24,'2.4. sz. Bölcsőde'!$D$5:$Q$5,"államigazgatási",'2.4. sz. Bölcsőde'!$D$3:$Q$3,"Eredeti előirányzat")+SUMIFS('2.5. sz. Gyermekjóléti'!D24:W24,'2.5. sz. Gyermekjóléti'!$D$5:$W$5,"államigazgatási",'2.5. sz. Gyermekjóléti'!$D$3:$W$3,"Eredeti előirányzat")+SUMIFS('2.6 sz. Területi'!D24:BG24,'2.6 sz. Területi'!$D$5:$BG$5,"államigazgatási",'2.6 sz. Területi'!$D$3:$BG$3,"Eredeti előirányzat")+SUMIFS('2.7. sz. Könyvtár'!D24:Z24,'2.7. sz. Könyvtár'!$D$5:$Z$5,"államigazgatási",'2.7. sz. Könyvtár'!$D$3:$Z$3,"Eredeti előirányzat")+SUMIFS('2.8. sz. Műv.Ház'!D24:Z24,'2.8. sz. Műv.Ház'!$D$5:$Z$5,"államigazgatási",'2.8. sz. Műv.Ház'!$D$3:$Z$3,"Eredeti előirányzat")+SUMIFS('2.9. sz. Szivárvány Ó.'!D24:W24,'2.9. sz. Szivárvány Ó.'!$D$5:$W$5,"államigazgatási",'2.9. sz. Szivárvány Ó.'!$D$3:$W$3,"Eredeti előirányzat")</f>
        <v>0</v>
      </c>
      <c r="K24" s="6">
        <f>+'2.1. sz. PMH'!K24+'2.1. sz. PMH'!N24+'2.1. sz. PMH'!Q24+'2.1. sz. PMH'!T24+'2.1. sz. PMH'!Z24+'2.1. sz. PMH'!AC24+'2.1. sz. PMH'!AF24+'2.1. sz. PMH'!AI24</f>
        <v>0</v>
      </c>
      <c r="L24" s="6">
        <f>+'2.1. sz. PMH'!AS24</f>
        <v>0</v>
      </c>
      <c r="M24" s="6">
        <f t="shared" si="0"/>
        <v>0</v>
      </c>
      <c r="N24" s="569">
        <f t="shared" si="1"/>
        <v>0</v>
      </c>
      <c r="O24" s="569">
        <f t="shared" si="2"/>
        <v>0</v>
      </c>
      <c r="Q24" s="19">
        <f>+'2.1. sz. PMH'!AP24+'2.2. sz. Hétszínvirág Óvoda'!AD24+'2.3. sz. Mese Óvoda'!X24+'2.4. sz. Bölcsőde'!U24+'2.5. sz. Gyermekjóléti'!AA24+'2.6 sz. Területi'!BK24+'2.7. sz. Könyvtár'!AD24+'2.8. sz. Műv.Ház'!AD24+'2.9. sz. Szivárvány Ó.'!AA24</f>
        <v>0</v>
      </c>
      <c r="R24" s="80">
        <f t="shared" si="3"/>
        <v>0</v>
      </c>
    </row>
    <row r="25" spans="1:18" ht="23.25" customHeight="1" x14ac:dyDescent="0.25">
      <c r="A25" s="25" t="s">
        <v>233</v>
      </c>
      <c r="B25" s="32" t="s">
        <v>521</v>
      </c>
      <c r="C25" s="30"/>
      <c r="D25" s="6">
        <f>SUMIFS('2.1. sz. PMH'!D25:AL25,'2.1. sz. PMH'!$D$5:$AL$5,"kötelező",'2.1. sz. PMH'!$D$3:$AL$3,"Eredeti előirányzat")+SUMIFS('2.2. sz. Hétszínvirág Óvoda'!D25:Z25,'2.2. sz. Hétszínvirág Óvoda'!$D$5:$Z$5,"kötelező",'2.2. sz. Hétszínvirág Óvoda'!$D$3:$Z$3,"Eredeti előirányzat")+SUMIFS('2.3. sz. Mese Óvoda'!D25:T25,'2.3. sz. Mese Óvoda'!$D$5:$T$5,"kötelező",'2.3. sz. Mese Óvoda'!$D$3:$T$3,"Eredeti előirányzat")+SUMIFS('2.4. sz. Bölcsőde'!D25:Q25,'2.4. sz. Bölcsőde'!$D$5:$Q$5,"kötelező",'2.4. sz. Bölcsőde'!$D$3:$Q$3,"Eredeti előirányzat")+SUMIFS('2.5. sz. Gyermekjóléti'!D25:W25,'2.5. sz. Gyermekjóléti'!$D$5:$W$5,"kötelező",'2.5. sz. Gyermekjóléti'!$D$3:$W$3,"Eredeti előirányzat")+SUMIFS('2.6 sz. Területi'!D25:BG25,'2.6 sz. Területi'!$D$5:$BG$5,"kötelező",'2.6 sz. Területi'!$D$3:$BG$3,"Eredeti előirányzat")+SUMIFS('2.7. sz. Könyvtár'!D25:Z25,'2.7. sz. Könyvtár'!$D$5:$Z$5,"kötelező",'2.7. sz. Könyvtár'!$D$3:$Z$3,"Eredeti előirányzat")+SUMIFS('2.8. sz. Műv.Ház'!D25:Z25,'2.8. sz. Műv.Ház'!$D$5:$Z$5,"kötelező",'2.8. sz. Műv.Ház'!$D$3:$Z$3,"Eredeti előirányzat")+SUMIFS('2.9. sz. Szivárvány Ó.'!D25:W25,'2.9. sz. Szivárvány Ó.'!$D$5:$W$5,"kötelező",'2.9. sz. Szivárvány Ó.'!$D$3:$W$3,"Eredeti előirányzat")</f>
        <v>0</v>
      </c>
      <c r="E25" s="6">
        <f>+'2.1. sz. PMH'!E25+'2.1. sz. PMH'!H25+'2.1. sz. PMH'!W25+'2.1. sz. PMH'!AL25+'2.2. sz. Hétszínvirág Óvoda'!E25+'2.2. sz. Hétszínvirág Óvoda'!H25+'2.2. sz. Hétszínvirág Óvoda'!K25+'2.2. sz. Hétszínvirág Óvoda'!N25+'2.2. sz. Hétszínvirág Óvoda'!Q25+'2.2. sz. Hétszínvirág Óvoda'!T25+'2.2. sz. Hétszínvirág Óvoda'!W25+'2.2. sz. Hétszínvirág Óvoda'!Z25+'2.3. sz. Mese Óvoda'!E25+'2.3. sz. Mese Óvoda'!H25+'2.3. sz. Mese Óvoda'!K25+'2.3. sz. Mese Óvoda'!N25+'2.3. sz. Mese Óvoda'!Q25+'2.3. sz. Mese Óvoda'!T25+'2.4. sz. Bölcsőde'!E25+'2.4. sz. Bölcsőde'!H25+'2.4. sz. Bölcsőde'!K25+'2.4. sz. Bölcsőde'!N25+'2.4. sz. Bölcsőde'!Q25+'2.5. sz. Gyermekjóléti'!E25+'2.5. sz. Gyermekjóléti'!H25+'2.5. sz. Gyermekjóléti'!K25+'2.5. sz. Gyermekjóléti'!N25+'2.5. sz. Gyermekjóléti'!Q25+'2.5. sz. Gyermekjóléti'!T25+'2.5. sz. Gyermekjóléti'!W25+'2.6 sz. Területi'!E25+'2.6 sz. Területi'!H25+'2.6 sz. Területi'!K25+'2.6 sz. Területi'!T25+'2.6 sz. Területi'!W25+'2.6 sz. Területi'!AI25+'2.6 sz. Területi'!AL25+'2.6 sz. Területi'!AO25+'2.6 sz. Területi'!AR25+'2.6 sz. Területi'!AU25+'2.6 sz. Területi'!AX25+'2.6 sz. Területi'!BA25+'2.6 sz. Területi'!BD25+'2.6 sz. Területi'!BG25+'2.7. sz. Könyvtár'!E25+'2.7. sz. Könyvtár'!H25+'2.7. sz. Könyvtár'!K25+'2.7. sz. Könyvtár'!N25+'2.7. sz. Könyvtár'!Q25+'2.7. sz. Könyvtár'!T25+'2.7. sz. Könyvtár'!W25+'2.7. sz. Könyvtár'!Z25+'2.8. sz. Műv.Ház'!E25+'2.8. sz. Műv.Ház'!H25+'2.8. sz. Műv.Ház'!K25+'2.8. sz. Műv.Ház'!Q25+'2.8. sz. Műv.Ház'!T25+'2.8. sz. Műv.Ház'!W25+'2.8. sz. Műv.Ház'!Z25+'2.9. sz. Szivárvány Ó.'!E25+'2.9. sz. Szivárvány Ó.'!H25+'2.9. sz. Szivárvány Ó.'!K25+'2.9. sz. Szivárvány Ó.'!N25+'2.9. sz. Szivárvány Ó.'!Q25+'2.9. sz. Szivárvány Ó.'!T25+'2.9. sz. Szivárvány Ó.'!W25</f>
        <v>0</v>
      </c>
      <c r="F25" s="6">
        <f>+'2.1. sz. PMH'!AQ25+'2.2. sz. Hétszínvirág Óvoda'!AD25+'2.3. sz. Mese Óvoda'!X25+'2.4. sz. Bölcsőde'!U25+'2.5. sz. Gyermekjóléti'!AA25+'2.6 sz. Területi'!BL25+'2.7. sz. Könyvtár'!AD25+'2.8. sz. Műv.Ház'!AE25+'2.9. sz. Szivárvány Ó.'!AA25</f>
        <v>0</v>
      </c>
      <c r="G25" s="6">
        <f>SUMIFS('2.1. sz. PMH'!D25:AL25,'2.1. sz. PMH'!$D$5:$AL$5,"önként vállalt",'2.1. sz. PMH'!$D$3:$AL$3,"Eredeti előirányzat")+SUMIFS('2.2. sz. Hétszínvirág Óvoda'!D25:Z25,'2.2. sz. Hétszínvirág Óvoda'!$D$5:$Z$5,"önként vállalt",'2.2. sz. Hétszínvirág Óvoda'!$D$3:$Z$3,"Eredeti előirányzat")+SUMIFS('2.3. sz. Mese Óvoda'!D25:T25,'2.3. sz. Mese Óvoda'!$D$5:$T$5,"önként vállalt",'2.3. sz. Mese Óvoda'!$D$3:$T$3,"Eredeti előirányzat")+SUMIFS('2.4. sz. Bölcsőde'!D25:Q25,'2.4. sz. Bölcsőde'!$D$5:$Q$5,"önként vállalt",'2.4. sz. Bölcsőde'!$D$3:$Q$3,"Eredeti előirányzat")+SUMIFS('2.5. sz. Gyermekjóléti'!D25:W25,'2.5. sz. Gyermekjóléti'!$D$5:$W$5,"önként vállalt",'2.5. sz. Gyermekjóléti'!$D$3:$W$3,"Eredeti előirányzat")+SUMIFS('2.6 sz. Területi'!D25:BG25,'2.6 sz. Területi'!$D$5:$BG$5,"önként vállalt",'2.6 sz. Területi'!$D$3:$BG$3,"Eredeti előirányzat")+SUMIFS('2.7. sz. Könyvtár'!D25:Z25,'2.7. sz. Könyvtár'!$D$5:$Z$5,"önként vállalt",'2.7. sz. Könyvtár'!$D$3:$Z$3,"Eredeti előirányzat")+SUMIFS('2.8. sz. Műv.Ház'!D25:Z25,'2.8. sz. Műv.Ház'!$D$5:$Z$5,"önként vállalt",'2.8. sz. Műv.Ház'!$D$3:$Z$3,"Eredeti előirányzat")+SUMIFS('2.9. sz. Szivárvány Ó.'!D25:W25,'2.9. sz. Szivárvány Ó.'!$D$5:$W$5,"önként vállalt",'2.9. sz. Szivárvány Ó.'!$D$3:$W$3,"Eredeti előirányzat")</f>
        <v>0</v>
      </c>
      <c r="H25" s="6">
        <f>+'2.6 sz. Területi'!N25+'2.6 sz. Területi'!Q25+'2.6 sz. Területi'!Z25+'2.6 sz. Területi'!AC25+'2.6 sz. Területi'!AF25+'2.8. sz. Műv.Ház'!N25</f>
        <v>0</v>
      </c>
      <c r="I25" s="6">
        <f>+'2.6 sz. Területi'!BM25+'2.8. sz. Műv.Ház'!AF25</f>
        <v>0</v>
      </c>
      <c r="J25" s="6">
        <f>SUMIFS('2.1. sz. PMH'!D25:AL25,'2.1. sz. PMH'!$D$5:$AL$5,"államigazgatási",'2.1. sz. PMH'!$D$3:$AL$3,"Eredeti előirányzat")+SUMIFS('2.2. sz. Hétszínvirág Óvoda'!D25:Z25,'2.2. sz. Hétszínvirág Óvoda'!$D$5:$Z$5,"államigazgatási",'2.2. sz. Hétszínvirág Óvoda'!$D$3:$Z$3,"Eredeti előirányzat")+SUMIFS('2.3. sz. Mese Óvoda'!D25:T25,'2.3. sz. Mese Óvoda'!$D$5:$T$5,"államigazgatási",'2.3. sz. Mese Óvoda'!$D$3:$T$3,"Eredeti előirányzat")+SUMIFS('2.4. sz. Bölcsőde'!D25:Q25,'2.4. sz. Bölcsőde'!$D$5:$Q$5,"államigazgatási",'2.4. sz. Bölcsőde'!$D$3:$Q$3,"Eredeti előirányzat")+SUMIFS('2.5. sz. Gyermekjóléti'!D25:W25,'2.5. sz. Gyermekjóléti'!$D$5:$W$5,"államigazgatási",'2.5. sz. Gyermekjóléti'!$D$3:$W$3,"Eredeti előirányzat")+SUMIFS('2.6 sz. Területi'!D25:BG25,'2.6 sz. Területi'!$D$5:$BG$5,"államigazgatási",'2.6 sz. Területi'!$D$3:$BG$3,"Eredeti előirányzat")+SUMIFS('2.7. sz. Könyvtár'!D25:Z25,'2.7. sz. Könyvtár'!$D$5:$Z$5,"államigazgatási",'2.7. sz. Könyvtár'!$D$3:$Z$3,"Eredeti előirányzat")+SUMIFS('2.8. sz. Műv.Ház'!D25:Z25,'2.8. sz. Műv.Ház'!$D$5:$Z$5,"államigazgatási",'2.8. sz. Műv.Ház'!$D$3:$Z$3,"Eredeti előirányzat")+SUMIFS('2.9. sz. Szivárvány Ó.'!D25:W25,'2.9. sz. Szivárvány Ó.'!$D$5:$W$5,"államigazgatási",'2.9. sz. Szivárvány Ó.'!$D$3:$W$3,"Eredeti előirányzat")</f>
        <v>0</v>
      </c>
      <c r="K25" s="6">
        <f>+'2.1. sz. PMH'!K25+'2.1. sz. PMH'!N25+'2.1. sz. PMH'!Q25+'2.1. sz. PMH'!T25+'2.1. sz. PMH'!Z25+'2.1. sz. PMH'!AC25+'2.1. sz. PMH'!AF25+'2.1. sz. PMH'!AI25</f>
        <v>0</v>
      </c>
      <c r="L25" s="6">
        <f>+'2.1. sz. PMH'!AS25</f>
        <v>0</v>
      </c>
      <c r="M25" s="6">
        <f t="shared" si="0"/>
        <v>0</v>
      </c>
      <c r="N25" s="569">
        <f t="shared" si="1"/>
        <v>0</v>
      </c>
      <c r="O25" s="569">
        <f t="shared" si="2"/>
        <v>0</v>
      </c>
      <c r="Q25" s="19">
        <f>+'2.1. sz. PMH'!AP25+'2.2. sz. Hétszínvirág Óvoda'!AD25+'2.3. sz. Mese Óvoda'!X25+'2.4. sz. Bölcsőde'!U25+'2.5. sz. Gyermekjóléti'!AA25+'2.6 sz. Területi'!BK25+'2.7. sz. Könyvtár'!AD25+'2.8. sz. Műv.Ház'!AD25+'2.9. sz. Szivárvány Ó.'!AA25</f>
        <v>0</v>
      </c>
      <c r="R25" s="80">
        <f t="shared" si="3"/>
        <v>0</v>
      </c>
    </row>
    <row r="26" spans="1:18" ht="23.25" customHeight="1" x14ac:dyDescent="0.25">
      <c r="A26" s="25" t="s">
        <v>234</v>
      </c>
      <c r="B26" s="32" t="s">
        <v>123</v>
      </c>
      <c r="C26" s="30"/>
      <c r="D26" s="6">
        <f>SUMIFS('2.1. sz. PMH'!D26:AL26,'2.1. sz. PMH'!$D$5:$AL$5,"kötelező",'2.1. sz. PMH'!$D$3:$AL$3,"Eredeti előirányzat")+SUMIFS('2.2. sz. Hétszínvirág Óvoda'!D26:Z26,'2.2. sz. Hétszínvirág Óvoda'!$D$5:$Z$5,"kötelező",'2.2. sz. Hétszínvirág Óvoda'!$D$3:$Z$3,"Eredeti előirányzat")+SUMIFS('2.3. sz. Mese Óvoda'!D26:T26,'2.3. sz. Mese Óvoda'!$D$5:$T$5,"kötelező",'2.3. sz. Mese Óvoda'!$D$3:$T$3,"Eredeti előirányzat")+SUMIFS('2.4. sz. Bölcsőde'!D26:Q26,'2.4. sz. Bölcsőde'!$D$5:$Q$5,"kötelező",'2.4. sz. Bölcsőde'!$D$3:$Q$3,"Eredeti előirányzat")+SUMIFS('2.5. sz. Gyermekjóléti'!D26:W26,'2.5. sz. Gyermekjóléti'!$D$5:$W$5,"kötelező",'2.5. sz. Gyermekjóléti'!$D$3:$W$3,"Eredeti előirányzat")+SUMIFS('2.6 sz. Területi'!D26:BG26,'2.6 sz. Területi'!$D$5:$BG$5,"kötelező",'2.6 sz. Területi'!$D$3:$BG$3,"Eredeti előirányzat")+SUMIFS('2.7. sz. Könyvtár'!D26:Z26,'2.7. sz. Könyvtár'!$D$5:$Z$5,"kötelező",'2.7. sz. Könyvtár'!$D$3:$Z$3,"Eredeti előirányzat")+SUMIFS('2.8. sz. Műv.Ház'!D26:Z26,'2.8. sz. Műv.Ház'!$D$5:$Z$5,"kötelező",'2.8. sz. Műv.Ház'!$D$3:$Z$3,"Eredeti előirányzat")+SUMIFS('2.9. sz. Szivárvány Ó.'!D26:W26,'2.9. sz. Szivárvány Ó.'!$D$5:$W$5,"kötelező",'2.9. sz. Szivárvány Ó.'!$D$3:$W$3,"Eredeti előirányzat")</f>
        <v>0</v>
      </c>
      <c r="E26" s="6">
        <f>+'2.1. sz. PMH'!E26+'2.1. sz. PMH'!H26+'2.1. sz. PMH'!W26+'2.1. sz. PMH'!AL26+'2.2. sz. Hétszínvirág Óvoda'!E26+'2.2. sz. Hétszínvirág Óvoda'!H26+'2.2. sz. Hétszínvirág Óvoda'!K26+'2.2. sz. Hétszínvirág Óvoda'!N26+'2.2. sz. Hétszínvirág Óvoda'!Q26+'2.2. sz. Hétszínvirág Óvoda'!T26+'2.2. sz. Hétszínvirág Óvoda'!W26+'2.2. sz. Hétszínvirág Óvoda'!Z26+'2.3. sz. Mese Óvoda'!E26+'2.3. sz. Mese Óvoda'!H26+'2.3. sz. Mese Óvoda'!K26+'2.3. sz. Mese Óvoda'!N26+'2.3. sz. Mese Óvoda'!Q26+'2.3. sz. Mese Óvoda'!T26+'2.4. sz. Bölcsőde'!E26+'2.4. sz. Bölcsőde'!H26+'2.4. sz. Bölcsőde'!K26+'2.4. sz. Bölcsőde'!N26+'2.4. sz. Bölcsőde'!Q26+'2.5. sz. Gyermekjóléti'!E26+'2.5. sz. Gyermekjóléti'!H26+'2.5. sz. Gyermekjóléti'!K26+'2.5. sz. Gyermekjóléti'!N26+'2.5. sz. Gyermekjóléti'!Q26+'2.5. sz. Gyermekjóléti'!T26+'2.5. sz. Gyermekjóléti'!W26+'2.6 sz. Területi'!E26+'2.6 sz. Területi'!H26+'2.6 sz. Területi'!K26+'2.6 sz. Területi'!T26+'2.6 sz. Területi'!W26+'2.6 sz. Területi'!AI26+'2.6 sz. Területi'!AL26+'2.6 sz. Területi'!AO26+'2.6 sz. Területi'!AR26+'2.6 sz. Területi'!AU26+'2.6 sz. Területi'!AX26+'2.6 sz. Területi'!BA26+'2.6 sz. Területi'!BD26+'2.6 sz. Területi'!BG26+'2.7. sz. Könyvtár'!E26+'2.7. sz. Könyvtár'!H26+'2.7. sz. Könyvtár'!K26+'2.7. sz. Könyvtár'!N26+'2.7. sz. Könyvtár'!Q26+'2.7. sz. Könyvtár'!T26+'2.7. sz. Könyvtár'!W26+'2.7. sz. Könyvtár'!Z26+'2.8. sz. Műv.Ház'!E26+'2.8. sz. Műv.Ház'!H26+'2.8. sz. Műv.Ház'!K26+'2.8. sz. Műv.Ház'!Q26+'2.8. sz. Műv.Ház'!T26+'2.8. sz. Műv.Ház'!W26+'2.8. sz. Műv.Ház'!Z26+'2.9. sz. Szivárvány Ó.'!E26+'2.9. sz. Szivárvány Ó.'!H26+'2.9. sz. Szivárvány Ó.'!K26+'2.9. sz. Szivárvány Ó.'!N26+'2.9. sz. Szivárvány Ó.'!Q26+'2.9. sz. Szivárvány Ó.'!T26+'2.9. sz. Szivárvány Ó.'!W26</f>
        <v>0</v>
      </c>
      <c r="F26" s="6">
        <f>+'2.1. sz. PMH'!AQ26+'2.2. sz. Hétszínvirág Óvoda'!AD26+'2.3. sz. Mese Óvoda'!X26+'2.4. sz. Bölcsőde'!U26+'2.5. sz. Gyermekjóléti'!AA26+'2.6 sz. Területi'!BL26+'2.7. sz. Könyvtár'!AD26+'2.8. sz. Műv.Ház'!AE26+'2.9. sz. Szivárvány Ó.'!AA26</f>
        <v>0</v>
      </c>
      <c r="G26" s="6">
        <f>SUMIFS('2.1. sz. PMH'!D26:AL26,'2.1. sz. PMH'!$D$5:$AL$5,"önként vállalt",'2.1. sz. PMH'!$D$3:$AL$3,"Eredeti előirányzat")+SUMIFS('2.2. sz. Hétszínvirág Óvoda'!D26:Z26,'2.2. sz. Hétszínvirág Óvoda'!$D$5:$Z$5,"önként vállalt",'2.2. sz. Hétszínvirág Óvoda'!$D$3:$Z$3,"Eredeti előirányzat")+SUMIFS('2.3. sz. Mese Óvoda'!D26:T26,'2.3. sz. Mese Óvoda'!$D$5:$T$5,"önként vállalt",'2.3. sz. Mese Óvoda'!$D$3:$T$3,"Eredeti előirányzat")+SUMIFS('2.4. sz. Bölcsőde'!D26:Q26,'2.4. sz. Bölcsőde'!$D$5:$Q$5,"önként vállalt",'2.4. sz. Bölcsőde'!$D$3:$Q$3,"Eredeti előirányzat")+SUMIFS('2.5. sz. Gyermekjóléti'!D26:W26,'2.5. sz. Gyermekjóléti'!$D$5:$W$5,"önként vállalt",'2.5. sz. Gyermekjóléti'!$D$3:$W$3,"Eredeti előirányzat")+SUMIFS('2.6 sz. Területi'!D26:BG26,'2.6 sz. Területi'!$D$5:$BG$5,"önként vállalt",'2.6 sz. Területi'!$D$3:$BG$3,"Eredeti előirányzat")+SUMIFS('2.7. sz. Könyvtár'!D26:Z26,'2.7. sz. Könyvtár'!$D$5:$Z$5,"önként vállalt",'2.7. sz. Könyvtár'!$D$3:$Z$3,"Eredeti előirányzat")+SUMIFS('2.8. sz. Műv.Ház'!D26:Z26,'2.8. sz. Műv.Ház'!$D$5:$Z$5,"önként vállalt",'2.8. sz. Műv.Ház'!$D$3:$Z$3,"Eredeti előirányzat")+SUMIFS('2.9. sz. Szivárvány Ó.'!D26:W26,'2.9. sz. Szivárvány Ó.'!$D$5:$W$5,"önként vállalt",'2.9. sz. Szivárvány Ó.'!$D$3:$W$3,"Eredeti előirányzat")</f>
        <v>0</v>
      </c>
      <c r="H26" s="6">
        <f>+'2.6 sz. Területi'!N26+'2.6 sz. Területi'!Q26+'2.6 sz. Területi'!Z26+'2.6 sz. Területi'!AC26+'2.6 sz. Területi'!AF26+'2.8. sz. Műv.Ház'!N26</f>
        <v>0</v>
      </c>
      <c r="I26" s="6">
        <f>+'2.6 sz. Területi'!BM26+'2.8. sz. Műv.Ház'!AF26</f>
        <v>0</v>
      </c>
      <c r="J26" s="6">
        <f>SUMIFS('2.1. sz. PMH'!D26:AL26,'2.1. sz. PMH'!$D$5:$AL$5,"államigazgatási",'2.1. sz. PMH'!$D$3:$AL$3,"Eredeti előirányzat")+SUMIFS('2.2. sz. Hétszínvirág Óvoda'!D26:Z26,'2.2. sz. Hétszínvirág Óvoda'!$D$5:$Z$5,"államigazgatási",'2.2. sz. Hétszínvirág Óvoda'!$D$3:$Z$3,"Eredeti előirányzat")+SUMIFS('2.3. sz. Mese Óvoda'!D26:T26,'2.3. sz. Mese Óvoda'!$D$5:$T$5,"államigazgatási",'2.3. sz. Mese Óvoda'!$D$3:$T$3,"Eredeti előirányzat")+SUMIFS('2.4. sz. Bölcsőde'!D26:Q26,'2.4. sz. Bölcsőde'!$D$5:$Q$5,"államigazgatási",'2.4. sz. Bölcsőde'!$D$3:$Q$3,"Eredeti előirányzat")+SUMIFS('2.5. sz. Gyermekjóléti'!D26:W26,'2.5. sz. Gyermekjóléti'!$D$5:$W$5,"államigazgatási",'2.5. sz. Gyermekjóléti'!$D$3:$W$3,"Eredeti előirányzat")+SUMIFS('2.6 sz. Területi'!D26:BG26,'2.6 sz. Területi'!$D$5:$BG$5,"államigazgatási",'2.6 sz. Területi'!$D$3:$BG$3,"Eredeti előirányzat")+SUMIFS('2.7. sz. Könyvtár'!D26:Z26,'2.7. sz. Könyvtár'!$D$5:$Z$5,"államigazgatási",'2.7. sz. Könyvtár'!$D$3:$Z$3,"Eredeti előirányzat")+SUMIFS('2.8. sz. Műv.Ház'!D26:Z26,'2.8. sz. Műv.Ház'!$D$5:$Z$5,"államigazgatási",'2.8. sz. Műv.Ház'!$D$3:$Z$3,"Eredeti előirányzat")+SUMIFS('2.9. sz. Szivárvány Ó.'!D26:W26,'2.9. sz. Szivárvány Ó.'!$D$5:$W$5,"államigazgatási",'2.9. sz. Szivárvány Ó.'!$D$3:$W$3,"Eredeti előirányzat")</f>
        <v>0</v>
      </c>
      <c r="K26" s="6">
        <f>+'2.1. sz. PMH'!K26+'2.1. sz. PMH'!N26+'2.1. sz. PMH'!Q26+'2.1. sz. PMH'!T26+'2.1. sz. PMH'!Z26+'2.1. sz. PMH'!AC26+'2.1. sz. PMH'!AF26+'2.1. sz. PMH'!AI26</f>
        <v>0</v>
      </c>
      <c r="L26" s="6">
        <f>+'2.1. sz. PMH'!AS26</f>
        <v>0</v>
      </c>
      <c r="M26" s="6">
        <f t="shared" si="0"/>
        <v>0</v>
      </c>
      <c r="N26" s="569">
        <f t="shared" si="1"/>
        <v>0</v>
      </c>
      <c r="O26" s="569">
        <f t="shared" si="2"/>
        <v>0</v>
      </c>
      <c r="Q26" s="19">
        <f>+'2.1. sz. PMH'!AP26+'2.2. sz. Hétszínvirág Óvoda'!AD26+'2.3. sz. Mese Óvoda'!X26+'2.4. sz. Bölcsőde'!U26+'2.5. sz. Gyermekjóléti'!AA26+'2.6 sz. Területi'!BK26+'2.7. sz. Könyvtár'!AD26+'2.8. sz. Műv.Ház'!AD26+'2.9. sz. Szivárvány Ó.'!AA26</f>
        <v>0</v>
      </c>
      <c r="R26" s="80">
        <f t="shared" si="3"/>
        <v>0</v>
      </c>
    </row>
    <row r="27" spans="1:18" ht="23.25" customHeight="1" x14ac:dyDescent="0.25">
      <c r="A27" s="25" t="s">
        <v>235</v>
      </c>
      <c r="B27" s="222" t="s">
        <v>742</v>
      </c>
      <c r="C27" s="30"/>
      <c r="D27" s="6">
        <f>SUMIFS('2.1. sz. PMH'!D27:AL27,'2.1. sz. PMH'!$D$5:$AL$5,"kötelező",'2.1. sz. PMH'!$D$3:$AL$3,"Eredeti előirányzat")+SUMIFS('2.2. sz. Hétszínvirág Óvoda'!D27:Z27,'2.2. sz. Hétszínvirág Óvoda'!$D$5:$Z$5,"kötelező",'2.2. sz. Hétszínvirág Óvoda'!$D$3:$Z$3,"Eredeti előirányzat")+SUMIFS('2.3. sz. Mese Óvoda'!D27:T27,'2.3. sz. Mese Óvoda'!$D$5:$T$5,"kötelező",'2.3. sz. Mese Óvoda'!$D$3:$T$3,"Eredeti előirányzat")+SUMIFS('2.4. sz. Bölcsőde'!D27:Q27,'2.4. sz. Bölcsőde'!$D$5:$Q$5,"kötelező",'2.4. sz. Bölcsőde'!$D$3:$Q$3,"Eredeti előirányzat")+SUMIFS('2.5. sz. Gyermekjóléti'!D27:W27,'2.5. sz. Gyermekjóléti'!$D$5:$W$5,"kötelező",'2.5. sz. Gyermekjóléti'!$D$3:$W$3,"Eredeti előirányzat")+SUMIFS('2.6 sz. Területi'!D27:BG27,'2.6 sz. Területi'!$D$5:$BG$5,"kötelező",'2.6 sz. Területi'!$D$3:$BG$3,"Eredeti előirányzat")+SUMIFS('2.7. sz. Könyvtár'!D27:Z27,'2.7. sz. Könyvtár'!$D$5:$Z$5,"kötelező",'2.7. sz. Könyvtár'!$D$3:$Z$3,"Eredeti előirányzat")+SUMIFS('2.8. sz. Műv.Ház'!D27:Z27,'2.8. sz. Műv.Ház'!$D$5:$Z$5,"kötelező",'2.8. sz. Műv.Ház'!$D$3:$Z$3,"Eredeti előirányzat")+SUMIFS('2.9. sz. Szivárvány Ó.'!D27:W27,'2.9. sz. Szivárvány Ó.'!$D$5:$W$5,"kötelező",'2.9. sz. Szivárvány Ó.'!$D$3:$W$3,"Eredeti előirányzat")</f>
        <v>0</v>
      </c>
      <c r="E27" s="6">
        <f>+'2.1. sz. PMH'!E27+'2.1. sz. PMH'!H27+'2.1. sz. PMH'!W27+'2.1. sz. PMH'!AL27+'2.2. sz. Hétszínvirág Óvoda'!E27+'2.2. sz. Hétszínvirág Óvoda'!H27+'2.2. sz. Hétszínvirág Óvoda'!K27+'2.2. sz. Hétszínvirág Óvoda'!N27+'2.2. sz. Hétszínvirág Óvoda'!Q27+'2.2. sz. Hétszínvirág Óvoda'!T27+'2.2. sz. Hétszínvirág Óvoda'!W27+'2.2. sz. Hétszínvirág Óvoda'!Z27+'2.3. sz. Mese Óvoda'!E27+'2.3. sz. Mese Óvoda'!H27+'2.3. sz. Mese Óvoda'!K27+'2.3. sz. Mese Óvoda'!N27+'2.3. sz. Mese Óvoda'!Q27+'2.3. sz. Mese Óvoda'!T27+'2.4. sz. Bölcsőde'!E27+'2.4. sz. Bölcsőde'!H27+'2.4. sz. Bölcsőde'!K27+'2.4. sz. Bölcsőde'!N27+'2.4. sz. Bölcsőde'!Q27+'2.5. sz. Gyermekjóléti'!E27+'2.5. sz. Gyermekjóléti'!H27+'2.5. sz. Gyermekjóléti'!K27+'2.5. sz. Gyermekjóléti'!N27+'2.5. sz. Gyermekjóléti'!Q27+'2.5. sz. Gyermekjóléti'!T27+'2.5. sz. Gyermekjóléti'!W27+'2.6 sz. Területi'!E27+'2.6 sz. Területi'!H27+'2.6 sz. Területi'!K27+'2.6 sz. Területi'!T27+'2.6 sz. Területi'!W27+'2.6 sz. Területi'!AI27+'2.6 sz. Területi'!AL27+'2.6 sz. Területi'!AO27+'2.6 sz. Területi'!AR27+'2.6 sz. Területi'!AU27+'2.6 sz. Területi'!AX27+'2.6 sz. Területi'!BA27+'2.6 sz. Területi'!BD27+'2.6 sz. Területi'!BG27+'2.7. sz. Könyvtár'!E27+'2.7. sz. Könyvtár'!H27+'2.7. sz. Könyvtár'!K27+'2.7. sz. Könyvtár'!N27+'2.7. sz. Könyvtár'!Q27+'2.7. sz. Könyvtár'!T27+'2.7. sz. Könyvtár'!W27+'2.7. sz. Könyvtár'!Z27+'2.8. sz. Műv.Ház'!E27+'2.8. sz. Műv.Ház'!H27+'2.8. sz. Műv.Ház'!K27+'2.8. sz. Műv.Ház'!Q27+'2.8. sz. Műv.Ház'!T27+'2.8. sz. Műv.Ház'!W27+'2.8. sz. Műv.Ház'!Z27+'2.9. sz. Szivárvány Ó.'!E27+'2.9. sz. Szivárvány Ó.'!H27+'2.9. sz. Szivárvány Ó.'!K27+'2.9. sz. Szivárvány Ó.'!N27+'2.9. sz. Szivárvány Ó.'!Q27+'2.9. sz. Szivárvány Ó.'!T27+'2.9. sz. Szivárvány Ó.'!W27</f>
        <v>0</v>
      </c>
      <c r="F27" s="6">
        <f>+'2.1. sz. PMH'!AQ27+'2.2. sz. Hétszínvirág Óvoda'!AD27+'2.3. sz. Mese Óvoda'!X27+'2.4. sz. Bölcsőde'!U27+'2.5. sz. Gyermekjóléti'!AA27+'2.6 sz. Területi'!BL27+'2.7. sz. Könyvtár'!AD27+'2.8. sz. Műv.Ház'!AE27+'2.9. sz. Szivárvány Ó.'!AA27</f>
        <v>0</v>
      </c>
      <c r="G27" s="6">
        <f>SUMIFS('2.1. sz. PMH'!D27:AL27,'2.1. sz. PMH'!$D$5:$AL$5,"önként vállalt",'2.1. sz. PMH'!$D$3:$AL$3,"Eredeti előirányzat")+SUMIFS('2.2. sz. Hétszínvirág Óvoda'!D27:Z27,'2.2. sz. Hétszínvirág Óvoda'!$D$5:$Z$5,"önként vállalt",'2.2. sz. Hétszínvirág Óvoda'!$D$3:$Z$3,"Eredeti előirányzat")+SUMIFS('2.3. sz. Mese Óvoda'!D27:T27,'2.3. sz. Mese Óvoda'!$D$5:$T$5,"önként vállalt",'2.3. sz. Mese Óvoda'!$D$3:$T$3,"Eredeti előirányzat")+SUMIFS('2.4. sz. Bölcsőde'!D27:Q27,'2.4. sz. Bölcsőde'!$D$5:$Q$5,"önként vállalt",'2.4. sz. Bölcsőde'!$D$3:$Q$3,"Eredeti előirányzat")+SUMIFS('2.5. sz. Gyermekjóléti'!D27:W27,'2.5. sz. Gyermekjóléti'!$D$5:$W$5,"önként vállalt",'2.5. sz. Gyermekjóléti'!$D$3:$W$3,"Eredeti előirányzat")+SUMIFS('2.6 sz. Területi'!D27:BG27,'2.6 sz. Területi'!$D$5:$BG$5,"önként vállalt",'2.6 sz. Területi'!$D$3:$BG$3,"Eredeti előirányzat")+SUMIFS('2.7. sz. Könyvtár'!D27:Z27,'2.7. sz. Könyvtár'!$D$5:$Z$5,"önként vállalt",'2.7. sz. Könyvtár'!$D$3:$Z$3,"Eredeti előirányzat")+SUMIFS('2.8. sz. Műv.Ház'!D27:Z27,'2.8. sz. Műv.Ház'!$D$5:$Z$5,"önként vállalt",'2.8. sz. Műv.Ház'!$D$3:$Z$3,"Eredeti előirányzat")+SUMIFS('2.9. sz. Szivárvány Ó.'!D27:W27,'2.9. sz. Szivárvány Ó.'!$D$5:$W$5,"önként vállalt",'2.9. sz. Szivárvány Ó.'!$D$3:$W$3,"Eredeti előirányzat")</f>
        <v>0</v>
      </c>
      <c r="H27" s="6">
        <f>+'2.6 sz. Területi'!N27+'2.6 sz. Területi'!Q27+'2.6 sz. Területi'!Z27+'2.6 sz. Területi'!AC27+'2.6 sz. Területi'!AF27+'2.8. sz. Műv.Ház'!N27</f>
        <v>0</v>
      </c>
      <c r="I27" s="6">
        <f>+'2.6 sz. Területi'!BM27+'2.8. sz. Műv.Ház'!AF27</f>
        <v>0</v>
      </c>
      <c r="J27" s="6">
        <f>SUMIFS('2.1. sz. PMH'!D27:AL27,'2.1. sz. PMH'!$D$5:$AL$5,"államigazgatási",'2.1. sz. PMH'!$D$3:$AL$3,"Eredeti előirányzat")+SUMIFS('2.2. sz. Hétszínvirág Óvoda'!D27:Z27,'2.2. sz. Hétszínvirág Óvoda'!$D$5:$Z$5,"államigazgatási",'2.2. sz. Hétszínvirág Óvoda'!$D$3:$Z$3,"Eredeti előirányzat")+SUMIFS('2.3. sz. Mese Óvoda'!D27:T27,'2.3. sz. Mese Óvoda'!$D$5:$T$5,"államigazgatási",'2.3. sz. Mese Óvoda'!$D$3:$T$3,"Eredeti előirányzat")+SUMIFS('2.4. sz. Bölcsőde'!D27:Q27,'2.4. sz. Bölcsőde'!$D$5:$Q$5,"államigazgatási",'2.4. sz. Bölcsőde'!$D$3:$Q$3,"Eredeti előirányzat")+SUMIFS('2.5. sz. Gyermekjóléti'!D27:W27,'2.5. sz. Gyermekjóléti'!$D$5:$W$5,"államigazgatási",'2.5. sz. Gyermekjóléti'!$D$3:$W$3,"Eredeti előirányzat")+SUMIFS('2.6 sz. Területi'!D27:BG27,'2.6 sz. Területi'!$D$5:$BG$5,"államigazgatási",'2.6 sz. Területi'!$D$3:$BG$3,"Eredeti előirányzat")+SUMIFS('2.7. sz. Könyvtár'!D27:Z27,'2.7. sz. Könyvtár'!$D$5:$Z$5,"államigazgatási",'2.7. sz. Könyvtár'!$D$3:$Z$3,"Eredeti előirányzat")+SUMIFS('2.8. sz. Műv.Ház'!D27:Z27,'2.8. sz. Műv.Ház'!$D$5:$Z$5,"államigazgatási",'2.8. sz. Műv.Ház'!$D$3:$Z$3,"Eredeti előirányzat")+SUMIFS('2.9. sz. Szivárvány Ó.'!D27:W27,'2.9. sz. Szivárvány Ó.'!$D$5:$W$5,"államigazgatási",'2.9. sz. Szivárvány Ó.'!$D$3:$W$3,"Eredeti előirányzat")</f>
        <v>0</v>
      </c>
      <c r="K27" s="6">
        <f>+'2.1. sz. PMH'!K27+'2.1. sz. PMH'!N27+'2.1. sz. PMH'!Q27+'2.1. sz. PMH'!T27+'2.1. sz. PMH'!Z27+'2.1. sz. PMH'!AC27+'2.1. sz. PMH'!AF27+'2.1. sz. PMH'!AI27</f>
        <v>0</v>
      </c>
      <c r="L27" s="6">
        <f>+'2.1. sz. PMH'!AS27</f>
        <v>0</v>
      </c>
      <c r="M27" s="6">
        <f t="shared" si="0"/>
        <v>0</v>
      </c>
      <c r="N27" s="569">
        <f t="shared" si="1"/>
        <v>0</v>
      </c>
      <c r="O27" s="569">
        <f t="shared" si="2"/>
        <v>0</v>
      </c>
      <c r="Q27" s="19">
        <f>+'2.1. sz. PMH'!AP27+'2.2. sz. Hétszínvirág Óvoda'!AD27+'2.3. sz. Mese Óvoda'!X27+'2.4. sz. Bölcsőde'!U27+'2.5. sz. Gyermekjóléti'!AA27+'2.6 sz. Területi'!BK27+'2.7. sz. Könyvtár'!AD27+'2.8. sz. Műv.Ház'!AD27+'2.9. sz. Szivárvány Ó.'!AA27</f>
        <v>0</v>
      </c>
      <c r="R27" s="80">
        <f t="shared" si="3"/>
        <v>0</v>
      </c>
    </row>
    <row r="28" spans="1:18" s="35" customFormat="1" ht="23.25" customHeight="1" x14ac:dyDescent="0.25">
      <c r="A28" s="25" t="s">
        <v>236</v>
      </c>
      <c r="B28" s="33" t="s">
        <v>32</v>
      </c>
      <c r="C28" s="26"/>
      <c r="D28" s="7">
        <f>SUMIFS('2.1. sz. PMH'!D28:AL28,'2.1. sz. PMH'!$D$5:$AL$5,"kötelező",'2.1. sz. PMH'!$D$3:$AL$3,"Eredeti előirányzat")+SUMIFS('2.2. sz. Hétszínvirág Óvoda'!D28:Z28,'2.2. sz. Hétszínvirág Óvoda'!$D$5:$Z$5,"kötelező",'2.2. sz. Hétszínvirág Óvoda'!$D$3:$Z$3,"Eredeti előirányzat")+SUMIFS('2.3. sz. Mese Óvoda'!D28:T28,'2.3. sz. Mese Óvoda'!$D$5:$T$5,"kötelező",'2.3. sz. Mese Óvoda'!$D$3:$T$3,"Eredeti előirányzat")+SUMIFS('2.4. sz. Bölcsőde'!D28:Q28,'2.4. sz. Bölcsőde'!$D$5:$Q$5,"kötelező",'2.4. sz. Bölcsőde'!$D$3:$Q$3,"Eredeti előirányzat")+SUMIFS('2.5. sz. Gyermekjóléti'!D28:W28,'2.5. sz. Gyermekjóléti'!$D$5:$W$5,"kötelező",'2.5. sz. Gyermekjóléti'!$D$3:$W$3,"Eredeti előirányzat")+SUMIFS('2.6 sz. Területi'!D28:BG28,'2.6 sz. Területi'!$D$5:$BG$5,"kötelező",'2.6 sz. Területi'!$D$3:$BG$3,"Eredeti előirányzat")+SUMIFS('2.7. sz. Könyvtár'!D28:Z28,'2.7. sz. Könyvtár'!$D$5:$Z$5,"kötelező",'2.7. sz. Könyvtár'!$D$3:$Z$3,"Eredeti előirányzat")+SUMIFS('2.8. sz. Műv.Ház'!D28:Z28,'2.8. sz. Műv.Ház'!$D$5:$Z$5,"kötelező",'2.8. sz. Műv.Ház'!$D$3:$Z$3,"Eredeti előirányzat")+SUMIFS('2.9. sz. Szivárvány Ó.'!D28:W28,'2.9. sz. Szivárvány Ó.'!$D$5:$W$5,"kötelező",'2.9. sz. Szivárvány Ó.'!$D$3:$W$3,"Eredeti előirányzat")</f>
        <v>3596097392</v>
      </c>
      <c r="E28" s="7">
        <f>+'2.1. sz. PMH'!E28+'2.1. sz. PMH'!H28+'2.1. sz. PMH'!W28+'2.1. sz. PMH'!AL28+'2.2. sz. Hétszínvirág Óvoda'!E28+'2.2. sz. Hétszínvirág Óvoda'!H28+'2.2. sz. Hétszínvirág Óvoda'!K28+'2.2. sz. Hétszínvirág Óvoda'!N28+'2.2. sz. Hétszínvirág Óvoda'!Q28+'2.2. sz. Hétszínvirág Óvoda'!T28+'2.2. sz. Hétszínvirág Óvoda'!W28+'2.2. sz. Hétszínvirág Óvoda'!Z28+'2.3. sz. Mese Óvoda'!E28+'2.3. sz. Mese Óvoda'!H28+'2.3. sz. Mese Óvoda'!K28+'2.3. sz. Mese Óvoda'!N28+'2.3. sz. Mese Óvoda'!Q28+'2.3. sz. Mese Óvoda'!T28+'2.4. sz. Bölcsőde'!E28+'2.4. sz. Bölcsőde'!H28+'2.4. sz. Bölcsőde'!K28+'2.4. sz. Bölcsőde'!N28+'2.4. sz. Bölcsőde'!Q28+'2.5. sz. Gyermekjóléti'!E28+'2.5. sz. Gyermekjóléti'!H28+'2.5. sz. Gyermekjóléti'!K28+'2.5. sz. Gyermekjóléti'!N28+'2.5. sz. Gyermekjóléti'!Q28+'2.5. sz. Gyermekjóléti'!T28+'2.5. sz. Gyermekjóléti'!W28+'2.6 sz. Területi'!E28+'2.6 sz. Területi'!H28+'2.6 sz. Területi'!K28+'2.6 sz. Területi'!T28+'2.6 sz. Területi'!W28+'2.6 sz. Területi'!AI28+'2.6 sz. Területi'!AL28+'2.6 sz. Területi'!AO28+'2.6 sz. Területi'!AR28+'2.6 sz. Területi'!AU28+'2.6 sz. Területi'!AX28+'2.6 sz. Területi'!BA28+'2.6 sz. Területi'!BD28+'2.6 sz. Területi'!BG28+'2.7. sz. Könyvtár'!E28+'2.7. sz. Könyvtár'!H28+'2.7. sz. Könyvtár'!K28+'2.7. sz. Könyvtár'!N28+'2.7. sz. Könyvtár'!Q28+'2.7. sz. Könyvtár'!T28+'2.7. sz. Könyvtár'!W28+'2.7. sz. Könyvtár'!Z28+'2.8. sz. Műv.Ház'!E28+'2.8. sz. Műv.Ház'!H28+'2.8. sz. Műv.Ház'!K28+'2.8. sz. Műv.Ház'!Q28+'2.8. sz. Műv.Ház'!T28+'2.8. sz. Műv.Ház'!W28+'2.8. sz. Műv.Ház'!Z28+'2.9. sz. Szivárvány Ó.'!E28+'2.9. sz. Szivárvány Ó.'!H28+'2.9. sz. Szivárvány Ó.'!K28+'2.9. sz. Szivárvány Ó.'!N28+'2.9. sz. Szivárvány Ó.'!Q28+'2.9. sz. Szivárvány Ó.'!T28+'2.9. sz. Szivárvány Ó.'!W28</f>
        <v>4022877813</v>
      </c>
      <c r="F28" s="7">
        <f>+'2.1. sz. PMH'!AQ28+'2.2. sz. Hétszínvirág Óvoda'!AD28+'2.3. sz. Mese Óvoda'!X28+'2.4. sz. Bölcsőde'!U28+'2.5. sz. Gyermekjóléti'!AA28+'2.6 sz. Területi'!BL28+'2.7. sz. Könyvtár'!AD28+'2.8. sz. Műv.Ház'!AE28+'2.9. sz. Szivárvány Ó.'!AA28</f>
        <v>3347116239</v>
      </c>
      <c r="G28" s="7">
        <f>SUMIFS('2.1. sz. PMH'!D28:AL28,'2.1. sz. PMH'!$D$5:$AL$5,"önként vállalt",'2.1. sz. PMH'!$D$3:$AL$3,"Eredeti előirányzat")+SUMIFS('2.2. sz. Hétszínvirág Óvoda'!D28:Z28,'2.2. sz. Hétszínvirág Óvoda'!$D$5:$Z$5,"önként vállalt",'2.2. sz. Hétszínvirág Óvoda'!$D$3:$Z$3,"Eredeti előirányzat")+SUMIFS('2.3. sz. Mese Óvoda'!D28:T28,'2.3. sz. Mese Óvoda'!$D$5:$T$5,"önként vállalt",'2.3. sz. Mese Óvoda'!$D$3:$T$3,"Eredeti előirányzat")+SUMIFS('2.4. sz. Bölcsőde'!D28:Q28,'2.4. sz. Bölcsőde'!$D$5:$Q$5,"önként vállalt",'2.4. sz. Bölcsőde'!$D$3:$Q$3,"Eredeti előirányzat")+SUMIFS('2.5. sz. Gyermekjóléti'!D28:W28,'2.5. sz. Gyermekjóléti'!$D$5:$W$5,"önként vállalt",'2.5. sz. Gyermekjóléti'!$D$3:$W$3,"Eredeti előirányzat")+SUMIFS('2.6 sz. Területi'!D28:BG28,'2.6 sz. Területi'!$D$5:$BG$5,"önként vállalt",'2.6 sz. Területi'!$D$3:$BG$3,"Eredeti előirányzat")+SUMIFS('2.7. sz. Könyvtár'!D28:Z28,'2.7. sz. Könyvtár'!$D$5:$Z$5,"önként vállalt",'2.7. sz. Könyvtár'!$D$3:$Z$3,"Eredeti előirányzat")+SUMIFS('2.8. sz. Műv.Ház'!D28:Z28,'2.8. sz. Műv.Ház'!$D$5:$Z$5,"önként vállalt",'2.8. sz. Műv.Ház'!$D$3:$Z$3,"Eredeti előirányzat")+SUMIFS('2.9. sz. Szivárvány Ó.'!D28:W28,'2.9. sz. Szivárvány Ó.'!$D$5:$W$5,"önként vállalt",'2.9. sz. Szivárvány Ó.'!$D$3:$W$3,"Eredeti előirányzat")</f>
        <v>127612470</v>
      </c>
      <c r="H28" s="7">
        <f>+'2.6 sz. Területi'!N28+'2.6 sz. Területi'!Q28+'2.6 sz. Területi'!Z28+'2.6 sz. Területi'!AC28+'2.6 sz. Területi'!AF28+'2.8. sz. Műv.Ház'!N28</f>
        <v>133428413</v>
      </c>
      <c r="I28" s="7">
        <f>+'2.6 sz. Területi'!BM28+'2.8. sz. Műv.Ház'!AF28</f>
        <v>96788636</v>
      </c>
      <c r="J28" s="7">
        <f>SUMIFS('2.1. sz. PMH'!D28:AL28,'2.1. sz. PMH'!$D$5:$AL$5,"államigazgatási",'2.1. sz. PMH'!$D$3:$AL$3,"Eredeti előirányzat")+SUMIFS('2.2. sz. Hétszínvirág Óvoda'!D28:Z28,'2.2. sz. Hétszínvirág Óvoda'!$D$5:$Z$5,"államigazgatási",'2.2. sz. Hétszínvirág Óvoda'!$D$3:$Z$3,"Eredeti előirányzat")+SUMIFS('2.3. sz. Mese Óvoda'!D28:T28,'2.3. sz. Mese Óvoda'!$D$5:$T$5,"államigazgatási",'2.3. sz. Mese Óvoda'!$D$3:$T$3,"Eredeti előirányzat")+SUMIFS('2.4. sz. Bölcsőde'!D28:Q28,'2.4. sz. Bölcsőde'!$D$5:$Q$5,"államigazgatási",'2.4. sz. Bölcsőde'!$D$3:$Q$3,"Eredeti előirányzat")+SUMIFS('2.5. sz. Gyermekjóléti'!D28:W28,'2.5. sz. Gyermekjóléti'!$D$5:$W$5,"államigazgatási",'2.5. sz. Gyermekjóléti'!$D$3:$W$3,"Eredeti előirányzat")+SUMIFS('2.6 sz. Területi'!D28:BG28,'2.6 sz. Területi'!$D$5:$BG$5,"államigazgatási",'2.6 sz. Területi'!$D$3:$BG$3,"Eredeti előirányzat")+SUMIFS('2.7. sz. Könyvtár'!D28:Z28,'2.7. sz. Könyvtár'!$D$5:$Z$5,"államigazgatási",'2.7. sz. Könyvtár'!$D$3:$Z$3,"Eredeti előirányzat")+SUMIFS('2.8. sz. Műv.Ház'!D28:Z28,'2.8. sz. Műv.Ház'!$D$5:$Z$5,"államigazgatási",'2.8. sz. Műv.Ház'!$D$3:$Z$3,"Eredeti előirányzat")+SUMIFS('2.9. sz. Szivárvány Ó.'!D28:W28,'2.9. sz. Szivárvány Ó.'!$D$5:$W$5,"államigazgatási",'2.9. sz. Szivárvány Ó.'!$D$3:$W$3,"Eredeti előirányzat")</f>
        <v>121717677</v>
      </c>
      <c r="K28" s="7">
        <f>+'2.1. sz. PMH'!K28+'2.1. sz. PMH'!N28+'2.1. sz. PMH'!Q28+'2.1. sz. PMH'!T28+'2.1. sz. PMH'!Z28+'2.1. sz. PMH'!AC28+'2.1. sz. PMH'!AF28+'2.1. sz. PMH'!AI28</f>
        <v>157826129</v>
      </c>
      <c r="L28" s="7">
        <f>+'2.1. sz. PMH'!AS28</f>
        <v>120463999</v>
      </c>
      <c r="M28" s="7">
        <f t="shared" si="0"/>
        <v>3845427539</v>
      </c>
      <c r="N28" s="570">
        <f t="shared" si="1"/>
        <v>4314132355</v>
      </c>
      <c r="O28" s="570">
        <f t="shared" si="2"/>
        <v>3564368874</v>
      </c>
      <c r="P28" s="81">
        <f>+M9+M10+M11+M12+M14+M15+M16</f>
        <v>3845427539</v>
      </c>
      <c r="Q28" s="19">
        <f>+'2.1. sz. PMH'!AP28+'2.2. sz. Hétszínvirág Óvoda'!AD28+'2.3. sz. Mese Óvoda'!X28+'2.4. sz. Bölcsőde'!U28+'2.5. sz. Gyermekjóléti'!AA28+'2.6 sz. Területi'!BK28+'2.7. sz. Könyvtár'!AD28+'2.8. sz. Műv.Ház'!AD28+'2.9. sz. Szivárvány Ó.'!AA28</f>
        <v>3564368874</v>
      </c>
      <c r="R28" s="80">
        <f t="shared" si="3"/>
        <v>0</v>
      </c>
    </row>
    <row r="29" spans="1:18" s="35" customFormat="1" ht="23.25" customHeight="1" x14ac:dyDescent="0.25">
      <c r="A29" s="25" t="s">
        <v>261</v>
      </c>
      <c r="B29" s="33" t="s">
        <v>33</v>
      </c>
      <c r="C29" s="26"/>
      <c r="D29" s="7">
        <f>SUMIFS('2.1. sz. PMH'!D29:AL29,'2.1. sz. PMH'!$D$5:$AL$5,"kötelező",'2.1. sz. PMH'!$D$3:$AL$3,"Eredeti előirányzat")+SUMIFS('2.2. sz. Hétszínvirág Óvoda'!D29:Z29,'2.2. sz. Hétszínvirág Óvoda'!$D$5:$Z$5,"kötelező",'2.2. sz. Hétszínvirág Óvoda'!$D$3:$Z$3,"Eredeti előirányzat")+SUMIFS('2.3. sz. Mese Óvoda'!D29:T29,'2.3. sz. Mese Óvoda'!$D$5:$T$5,"kötelező",'2.3. sz. Mese Óvoda'!$D$3:$T$3,"Eredeti előirányzat")+SUMIFS('2.4. sz. Bölcsőde'!D29:Q29,'2.4. sz. Bölcsőde'!$D$5:$Q$5,"kötelező",'2.4. sz. Bölcsőde'!$D$3:$Q$3,"Eredeti előirányzat")+SUMIFS('2.5. sz. Gyermekjóléti'!D29:W29,'2.5. sz. Gyermekjóléti'!$D$5:$W$5,"kötelező",'2.5. sz. Gyermekjóléti'!$D$3:$W$3,"Eredeti előirányzat")+SUMIFS('2.6 sz. Területi'!D29:BG29,'2.6 sz. Területi'!$D$5:$BG$5,"kötelező",'2.6 sz. Területi'!$D$3:$BG$3,"Eredeti előirányzat")+SUMIFS('2.7. sz. Könyvtár'!D29:Z29,'2.7. sz. Könyvtár'!$D$5:$Z$5,"kötelező",'2.7. sz. Könyvtár'!$D$3:$Z$3,"Eredeti előirányzat")+SUMIFS('2.8. sz. Műv.Ház'!D29:Z29,'2.8. sz. Műv.Ház'!$D$5:$Z$5,"kötelező",'2.8. sz. Műv.Ház'!$D$3:$Z$3,"Eredeti előirányzat")+SUMIFS('2.9. sz. Szivárvány Ó.'!D29:W29,'2.9. sz. Szivárvány Ó.'!$D$5:$W$5,"kötelező",'2.9. sz. Szivárvány Ó.'!$D$3:$W$3,"Eredeti előirányzat")</f>
        <v>61396015</v>
      </c>
      <c r="E29" s="7">
        <f>+'2.1. sz. PMH'!E29+'2.1. sz. PMH'!H29+'2.1. sz. PMH'!W29+'2.1. sz. PMH'!AL29+'2.2. sz. Hétszínvirág Óvoda'!E29+'2.2. sz. Hétszínvirág Óvoda'!H29+'2.2. sz. Hétszínvirág Óvoda'!K29+'2.2. sz. Hétszínvirág Óvoda'!N29+'2.2. sz. Hétszínvirág Óvoda'!Q29+'2.2. sz. Hétszínvirág Óvoda'!T29+'2.2. sz. Hétszínvirág Óvoda'!W29+'2.2. sz. Hétszínvirág Óvoda'!Z29+'2.3. sz. Mese Óvoda'!E29+'2.3. sz. Mese Óvoda'!H29+'2.3. sz. Mese Óvoda'!K29+'2.3. sz. Mese Óvoda'!N29+'2.3. sz. Mese Óvoda'!Q29+'2.3. sz. Mese Óvoda'!T29+'2.4. sz. Bölcsőde'!E29+'2.4. sz. Bölcsőde'!H29+'2.4. sz. Bölcsőde'!K29+'2.4. sz. Bölcsőde'!N29+'2.4. sz. Bölcsőde'!Q29+'2.5. sz. Gyermekjóléti'!E29+'2.5. sz. Gyermekjóléti'!H29+'2.5. sz. Gyermekjóléti'!K29+'2.5. sz. Gyermekjóléti'!N29+'2.5. sz. Gyermekjóléti'!Q29+'2.5. sz. Gyermekjóléti'!T29+'2.5. sz. Gyermekjóléti'!W29+'2.6 sz. Területi'!E29+'2.6 sz. Területi'!H29+'2.6 sz. Területi'!K29+'2.6 sz. Területi'!T29+'2.6 sz. Területi'!W29+'2.6 sz. Területi'!AI29+'2.6 sz. Területi'!AL29+'2.6 sz. Területi'!AO29+'2.6 sz. Területi'!AR29+'2.6 sz. Területi'!AU29+'2.6 sz. Területi'!AX29+'2.6 sz. Területi'!BA29+'2.6 sz. Területi'!BD29+'2.6 sz. Területi'!BG29+'2.7. sz. Könyvtár'!E29+'2.7. sz. Könyvtár'!H29+'2.7. sz. Könyvtár'!K29+'2.7. sz. Könyvtár'!N29+'2.7. sz. Könyvtár'!Q29+'2.7. sz. Könyvtár'!T29+'2.7. sz. Könyvtár'!W29+'2.7. sz. Könyvtár'!Z29+'2.8. sz. Műv.Ház'!E29+'2.8. sz. Műv.Ház'!H29+'2.8. sz. Műv.Ház'!K29+'2.8. sz. Műv.Ház'!Q29+'2.8. sz. Műv.Ház'!T29+'2.8. sz. Műv.Ház'!W29+'2.8. sz. Műv.Ház'!Z29+'2.9. sz. Szivárvány Ó.'!E29+'2.9. sz. Szivárvány Ó.'!H29+'2.9. sz. Szivárvány Ó.'!K29+'2.9. sz. Szivárvány Ó.'!N29+'2.9. sz. Szivárvány Ó.'!Q29+'2.9. sz. Szivárvány Ó.'!T29+'2.9. sz. Szivárvány Ó.'!W29</f>
        <v>95653896</v>
      </c>
      <c r="F29" s="7">
        <f>+'2.1. sz. PMH'!AQ29+'2.2. sz. Hétszínvirág Óvoda'!AD29+'2.3. sz. Mese Óvoda'!X29+'2.4. sz. Bölcsőde'!U29+'2.5. sz. Gyermekjóléti'!AA29+'2.6 sz. Területi'!BL29+'2.7. sz. Könyvtár'!AD29+'2.8. sz. Műv.Ház'!AE29+'2.9. sz. Szivárvány Ó.'!AA29</f>
        <v>61589651</v>
      </c>
      <c r="G29" s="7">
        <f>SUMIFS('2.1. sz. PMH'!D29:AL29,'2.1. sz. PMH'!$D$5:$AL$5,"önként vállalt",'2.1. sz. PMH'!$D$3:$AL$3,"Eredeti előirányzat")+SUMIFS('2.2. sz. Hétszínvirág Óvoda'!D29:Z29,'2.2. sz. Hétszínvirág Óvoda'!$D$5:$Z$5,"önként vállalt",'2.2. sz. Hétszínvirág Óvoda'!$D$3:$Z$3,"Eredeti előirányzat")+SUMIFS('2.3. sz. Mese Óvoda'!D29:T29,'2.3. sz. Mese Óvoda'!$D$5:$T$5,"önként vállalt",'2.3. sz. Mese Óvoda'!$D$3:$T$3,"Eredeti előirányzat")+SUMIFS('2.4. sz. Bölcsőde'!D29:Q29,'2.4. sz. Bölcsőde'!$D$5:$Q$5,"önként vállalt",'2.4. sz. Bölcsőde'!$D$3:$Q$3,"Eredeti előirányzat")+SUMIFS('2.5. sz. Gyermekjóléti'!D29:W29,'2.5. sz. Gyermekjóléti'!$D$5:$W$5,"önként vállalt",'2.5. sz. Gyermekjóléti'!$D$3:$W$3,"Eredeti előirányzat")+SUMIFS('2.6 sz. Területi'!D29:BG29,'2.6 sz. Területi'!$D$5:$BG$5,"önként vállalt",'2.6 sz. Területi'!$D$3:$BG$3,"Eredeti előirányzat")+SUMIFS('2.7. sz. Könyvtár'!D29:Z29,'2.7. sz. Könyvtár'!$D$5:$Z$5,"önként vállalt",'2.7. sz. Könyvtár'!$D$3:$Z$3,"Eredeti előirányzat")+SUMIFS('2.8. sz. Műv.Ház'!D29:Z29,'2.8. sz. Műv.Ház'!$D$5:$Z$5,"önként vállalt",'2.8. sz. Műv.Ház'!$D$3:$Z$3,"Eredeti előirányzat")+SUMIFS('2.9. sz. Szivárvány Ó.'!D29:W29,'2.9. sz. Szivárvány Ó.'!$D$5:$W$5,"önként vállalt",'2.9. sz. Szivárvány Ó.'!$D$3:$W$3,"Eredeti előirányzat")</f>
        <v>2222500</v>
      </c>
      <c r="H29" s="7">
        <f>+'2.6 sz. Területi'!N29+'2.6 sz. Területi'!Q29+'2.6 sz. Területi'!Z29+'2.6 sz. Területi'!AC29+'2.6 sz. Területi'!AF29+'2.8. sz. Műv.Ház'!N29</f>
        <v>2222500</v>
      </c>
      <c r="I29" s="7">
        <f>+'2.6 sz. Területi'!BM29+'2.8. sz. Műv.Ház'!AF29</f>
        <v>59979</v>
      </c>
      <c r="J29" s="7">
        <f>SUMIFS('2.1. sz. PMH'!D29:AL29,'2.1. sz. PMH'!$D$5:$AL$5,"államigazgatási",'2.1. sz. PMH'!$D$3:$AL$3,"Eredeti előirányzat")+SUMIFS('2.2. sz. Hétszínvirág Óvoda'!D29:Z29,'2.2. sz. Hétszínvirág Óvoda'!$D$5:$Z$5,"államigazgatási",'2.2. sz. Hétszínvirág Óvoda'!$D$3:$Z$3,"Eredeti előirányzat")+SUMIFS('2.3. sz. Mese Óvoda'!D29:T29,'2.3. sz. Mese Óvoda'!$D$5:$T$5,"államigazgatási",'2.3. sz. Mese Óvoda'!$D$3:$T$3,"Eredeti előirányzat")+SUMIFS('2.4. sz. Bölcsőde'!D29:Q29,'2.4. sz. Bölcsőde'!$D$5:$Q$5,"államigazgatási",'2.4. sz. Bölcsőde'!$D$3:$Q$3,"Eredeti előirányzat")+SUMIFS('2.5. sz. Gyermekjóléti'!D29:W29,'2.5. sz. Gyermekjóléti'!$D$5:$W$5,"államigazgatási",'2.5. sz. Gyermekjóléti'!$D$3:$W$3,"Eredeti előirányzat")+SUMIFS('2.6 sz. Területi'!D29:BG29,'2.6 sz. Területi'!$D$5:$BG$5,"államigazgatási",'2.6 sz. Területi'!$D$3:$BG$3,"Eredeti előirányzat")+SUMIFS('2.7. sz. Könyvtár'!D29:Z29,'2.7. sz. Könyvtár'!$D$5:$Z$5,"államigazgatási",'2.7. sz. Könyvtár'!$D$3:$Z$3,"Eredeti előirányzat")+SUMIFS('2.8. sz. Műv.Ház'!D29:Z29,'2.8. sz. Műv.Ház'!$D$5:$Z$5,"államigazgatási",'2.8. sz. Műv.Ház'!$D$3:$Z$3,"Eredeti előirányzat")+SUMIFS('2.9. sz. Szivárvány Ó.'!D29:W29,'2.9. sz. Szivárvány Ó.'!$D$5:$W$5,"államigazgatási",'2.9. sz. Szivárvány Ó.'!$D$3:$W$3,"Eredeti előirányzat")</f>
        <v>7240500</v>
      </c>
      <c r="K29" s="7">
        <f>+'2.1. sz. PMH'!K29+'2.1. sz. PMH'!N29+'2.1. sz. PMH'!Q29+'2.1. sz. PMH'!T29+'2.1. sz. PMH'!Z29+'2.1. sz. PMH'!AC29+'2.1. sz. PMH'!AF29+'2.1. sz. PMH'!AI29</f>
        <v>11280737</v>
      </c>
      <c r="L29" s="7">
        <f>+'2.1. sz. PMH'!AS29</f>
        <v>5283291</v>
      </c>
      <c r="M29" s="7">
        <f t="shared" si="0"/>
        <v>70859015</v>
      </c>
      <c r="N29" s="570">
        <f t="shared" si="1"/>
        <v>109157133</v>
      </c>
      <c r="O29" s="570">
        <f t="shared" si="2"/>
        <v>66932921</v>
      </c>
      <c r="Q29" s="19">
        <f>+'2.1. sz. PMH'!AP29+'2.2. sz. Hétszínvirág Óvoda'!AD29+'2.3. sz. Mese Óvoda'!X29+'2.4. sz. Bölcsőde'!U29+'2.5. sz. Gyermekjóléti'!AA29+'2.6 sz. Területi'!BK29+'2.7. sz. Könyvtár'!AD29+'2.8. sz. Műv.Ház'!AD29+'2.9. sz. Szivárvány Ó.'!AA29</f>
        <v>66932921</v>
      </c>
      <c r="R29" s="80">
        <f t="shared" si="3"/>
        <v>0</v>
      </c>
    </row>
    <row r="30" spans="1:18" s="35" customFormat="1" ht="23.25" customHeight="1" x14ac:dyDescent="0.25">
      <c r="A30" s="25" t="s">
        <v>262</v>
      </c>
      <c r="B30" s="33" t="s">
        <v>328</v>
      </c>
      <c r="C30" s="26" t="s">
        <v>31</v>
      </c>
      <c r="D30" s="7">
        <f>SUMIFS('2.1. sz. PMH'!D30:AL30,'2.1. sz. PMH'!$D$5:$AL$5,"kötelező",'2.1. sz. PMH'!$D$3:$AL$3,"Eredeti előirányzat")+SUMIFS('2.2. sz. Hétszínvirág Óvoda'!D30:Z30,'2.2. sz. Hétszínvirág Óvoda'!$D$5:$Z$5,"kötelező",'2.2. sz. Hétszínvirág Óvoda'!$D$3:$Z$3,"Eredeti előirányzat")+SUMIFS('2.3. sz. Mese Óvoda'!D30:T30,'2.3. sz. Mese Óvoda'!$D$5:$T$5,"kötelező",'2.3. sz. Mese Óvoda'!$D$3:$T$3,"Eredeti előirányzat")+SUMIFS('2.4. sz. Bölcsőde'!D30:Q30,'2.4. sz. Bölcsőde'!$D$5:$Q$5,"kötelező",'2.4. sz. Bölcsőde'!$D$3:$Q$3,"Eredeti előirányzat")+SUMIFS('2.5. sz. Gyermekjóléti'!D30:W30,'2.5. sz. Gyermekjóléti'!$D$5:$W$5,"kötelező",'2.5. sz. Gyermekjóléti'!$D$3:$W$3,"Eredeti előirányzat")+SUMIFS('2.6 sz. Területi'!D30:BG30,'2.6 sz. Területi'!$D$5:$BG$5,"kötelező",'2.6 sz. Területi'!$D$3:$BG$3,"Eredeti előirányzat")+SUMIFS('2.7. sz. Könyvtár'!D30:Z30,'2.7. sz. Könyvtár'!$D$5:$Z$5,"kötelező",'2.7. sz. Könyvtár'!$D$3:$Z$3,"Eredeti előirányzat")+SUMIFS('2.8. sz. Műv.Ház'!D30:Z30,'2.8. sz. Műv.Ház'!$D$5:$Z$5,"kötelező",'2.8. sz. Műv.Ház'!$D$3:$Z$3,"Eredeti előirányzat")+SUMIFS('2.9. sz. Szivárvány Ó.'!D30:W30,'2.9. sz. Szivárvány Ó.'!$D$5:$W$5,"kötelező",'2.9. sz. Szivárvány Ó.'!$D$3:$W$3,"Eredeti előirányzat")</f>
        <v>3657493407</v>
      </c>
      <c r="E30" s="7">
        <f>+'2.1. sz. PMH'!E30+'2.1. sz. PMH'!H30+'2.1. sz. PMH'!W30+'2.1. sz. PMH'!AL30+'2.2. sz. Hétszínvirág Óvoda'!E30+'2.2. sz. Hétszínvirág Óvoda'!H30+'2.2. sz. Hétszínvirág Óvoda'!K30+'2.2. sz. Hétszínvirág Óvoda'!N30+'2.2. sz. Hétszínvirág Óvoda'!Q30+'2.2. sz. Hétszínvirág Óvoda'!T30+'2.2. sz. Hétszínvirág Óvoda'!W30+'2.2. sz. Hétszínvirág Óvoda'!Z30+'2.3. sz. Mese Óvoda'!E30+'2.3. sz. Mese Óvoda'!H30+'2.3. sz. Mese Óvoda'!K30+'2.3. sz. Mese Óvoda'!N30+'2.3. sz. Mese Óvoda'!Q30+'2.3. sz. Mese Óvoda'!T30+'2.4. sz. Bölcsőde'!E30+'2.4. sz. Bölcsőde'!H30+'2.4. sz. Bölcsőde'!K30+'2.4. sz. Bölcsőde'!N30+'2.4. sz. Bölcsőde'!Q30+'2.5. sz. Gyermekjóléti'!E30+'2.5. sz. Gyermekjóléti'!H30+'2.5. sz. Gyermekjóléti'!K30+'2.5. sz. Gyermekjóléti'!N30+'2.5. sz. Gyermekjóléti'!Q30+'2.5. sz. Gyermekjóléti'!T30+'2.5. sz. Gyermekjóléti'!W30+'2.6 sz. Területi'!E30+'2.6 sz. Területi'!H30+'2.6 sz. Területi'!K30+'2.6 sz. Területi'!T30+'2.6 sz. Területi'!W30+'2.6 sz. Területi'!AI30+'2.6 sz. Területi'!AL30+'2.6 sz. Területi'!AO30+'2.6 sz. Területi'!AR30+'2.6 sz. Területi'!AU30+'2.6 sz. Területi'!AX30+'2.6 sz. Területi'!BA30+'2.6 sz. Területi'!BD30+'2.6 sz. Területi'!BG30+'2.7. sz. Könyvtár'!E30+'2.7. sz. Könyvtár'!H30+'2.7. sz. Könyvtár'!K30+'2.7. sz. Könyvtár'!N30+'2.7. sz. Könyvtár'!Q30+'2.7. sz. Könyvtár'!T30+'2.7. sz. Könyvtár'!W30+'2.7. sz. Könyvtár'!Z30+'2.8. sz. Műv.Ház'!E30+'2.8. sz. Műv.Ház'!H30+'2.8. sz. Műv.Ház'!K30+'2.8. sz. Műv.Ház'!Q30+'2.8. sz. Műv.Ház'!T30+'2.8. sz. Műv.Ház'!W30+'2.8. sz. Műv.Ház'!Z30+'2.9. sz. Szivárvány Ó.'!E30+'2.9. sz. Szivárvány Ó.'!H30+'2.9. sz. Szivárvány Ó.'!K30+'2.9. sz. Szivárvány Ó.'!N30+'2.9. sz. Szivárvány Ó.'!Q30+'2.9. sz. Szivárvány Ó.'!T30+'2.9. sz. Szivárvány Ó.'!W30</f>
        <v>4118531709</v>
      </c>
      <c r="F30" s="7">
        <f>+'2.1. sz. PMH'!AQ30+'2.2. sz. Hétszínvirág Óvoda'!AD30+'2.3. sz. Mese Óvoda'!X30+'2.4. sz. Bölcsőde'!U30+'2.5. sz. Gyermekjóléti'!AA30+'2.6 sz. Területi'!BL30+'2.7. sz. Könyvtár'!AD30+'2.8. sz. Műv.Ház'!AE30+'2.9. sz. Szivárvány Ó.'!AA30</f>
        <v>3408705890</v>
      </c>
      <c r="G30" s="7">
        <f>SUMIFS('2.1. sz. PMH'!D30:AL30,'2.1. sz. PMH'!$D$5:$AL$5,"önként vállalt",'2.1. sz. PMH'!$D$3:$AL$3,"Eredeti előirányzat")+SUMIFS('2.2. sz. Hétszínvirág Óvoda'!D30:Z30,'2.2. sz. Hétszínvirág Óvoda'!$D$5:$Z$5,"önként vállalt",'2.2. sz. Hétszínvirág Óvoda'!$D$3:$Z$3,"Eredeti előirányzat")+SUMIFS('2.3. sz. Mese Óvoda'!D30:T30,'2.3. sz. Mese Óvoda'!$D$5:$T$5,"önként vállalt",'2.3. sz. Mese Óvoda'!$D$3:$T$3,"Eredeti előirányzat")+SUMIFS('2.4. sz. Bölcsőde'!D30:Q30,'2.4. sz. Bölcsőde'!$D$5:$Q$5,"önként vállalt",'2.4. sz. Bölcsőde'!$D$3:$Q$3,"Eredeti előirányzat")+SUMIFS('2.5. sz. Gyermekjóléti'!D30:W30,'2.5. sz. Gyermekjóléti'!$D$5:$W$5,"önként vállalt",'2.5. sz. Gyermekjóléti'!$D$3:$W$3,"Eredeti előirányzat")+SUMIFS('2.6 sz. Területi'!D30:BG30,'2.6 sz. Területi'!$D$5:$BG$5,"önként vállalt",'2.6 sz. Területi'!$D$3:$BG$3,"Eredeti előirányzat")+SUMIFS('2.7. sz. Könyvtár'!D30:Z30,'2.7. sz. Könyvtár'!$D$5:$Z$5,"önként vállalt",'2.7. sz. Könyvtár'!$D$3:$Z$3,"Eredeti előirányzat")+SUMIFS('2.8. sz. Műv.Ház'!D30:Z30,'2.8. sz. Műv.Ház'!$D$5:$Z$5,"önként vállalt",'2.8. sz. Műv.Ház'!$D$3:$Z$3,"Eredeti előirányzat")+SUMIFS('2.9. sz. Szivárvány Ó.'!D30:W30,'2.9. sz. Szivárvány Ó.'!$D$5:$W$5,"önként vállalt",'2.9. sz. Szivárvány Ó.'!$D$3:$W$3,"Eredeti előirányzat")</f>
        <v>129834970</v>
      </c>
      <c r="H30" s="7">
        <f>+'2.6 sz. Területi'!N30+'2.6 sz. Területi'!Q30+'2.6 sz. Területi'!Z30+'2.6 sz. Területi'!AC30+'2.6 sz. Területi'!AF30+'2.8. sz. Műv.Ház'!N30</f>
        <v>135650913</v>
      </c>
      <c r="I30" s="7">
        <f>+'2.6 sz. Területi'!BM30+'2.8. sz. Műv.Ház'!AF30</f>
        <v>96848615</v>
      </c>
      <c r="J30" s="7">
        <f>SUMIFS('2.1. sz. PMH'!D30:AL30,'2.1. sz. PMH'!$D$5:$AL$5,"államigazgatási",'2.1. sz. PMH'!$D$3:$AL$3,"Eredeti előirányzat")+SUMIFS('2.2. sz. Hétszínvirág Óvoda'!D30:Z30,'2.2. sz. Hétszínvirág Óvoda'!$D$5:$Z$5,"államigazgatási",'2.2. sz. Hétszínvirág Óvoda'!$D$3:$Z$3,"Eredeti előirányzat")+SUMIFS('2.3. sz. Mese Óvoda'!D30:T30,'2.3. sz. Mese Óvoda'!$D$5:$T$5,"államigazgatási",'2.3. sz. Mese Óvoda'!$D$3:$T$3,"Eredeti előirányzat")+SUMIFS('2.4. sz. Bölcsőde'!D30:Q30,'2.4. sz. Bölcsőde'!$D$5:$Q$5,"államigazgatási",'2.4. sz. Bölcsőde'!$D$3:$Q$3,"Eredeti előirányzat")+SUMIFS('2.5. sz. Gyermekjóléti'!D30:W30,'2.5. sz. Gyermekjóléti'!$D$5:$W$5,"államigazgatási",'2.5. sz. Gyermekjóléti'!$D$3:$W$3,"Eredeti előirányzat")+SUMIFS('2.6 sz. Területi'!D30:BG30,'2.6 sz. Területi'!$D$5:$BG$5,"államigazgatási",'2.6 sz. Területi'!$D$3:$BG$3,"Eredeti előirányzat")+SUMIFS('2.7. sz. Könyvtár'!D30:Z30,'2.7. sz. Könyvtár'!$D$5:$Z$5,"államigazgatási",'2.7. sz. Könyvtár'!$D$3:$Z$3,"Eredeti előirányzat")+SUMIFS('2.8. sz. Műv.Ház'!D30:Z30,'2.8. sz. Műv.Ház'!$D$5:$Z$5,"államigazgatási",'2.8. sz. Műv.Ház'!$D$3:$Z$3,"Eredeti előirányzat")+SUMIFS('2.9. sz. Szivárvány Ó.'!D30:W30,'2.9. sz. Szivárvány Ó.'!$D$5:$W$5,"államigazgatási",'2.9. sz. Szivárvány Ó.'!$D$3:$W$3,"Eredeti előirányzat")</f>
        <v>128958177</v>
      </c>
      <c r="K30" s="7">
        <f>+'2.1. sz. PMH'!K30+'2.1. sz. PMH'!N30+'2.1. sz. PMH'!Q30+'2.1. sz. PMH'!T30+'2.1. sz. PMH'!Z30+'2.1. sz. PMH'!AC30+'2.1. sz. PMH'!AF30+'2.1. sz. PMH'!AI30</f>
        <v>169106866</v>
      </c>
      <c r="L30" s="7">
        <f>+'2.1. sz. PMH'!AS30</f>
        <v>125747290</v>
      </c>
      <c r="M30" s="7">
        <f t="shared" si="0"/>
        <v>3916286554</v>
      </c>
      <c r="N30" s="570">
        <f t="shared" si="1"/>
        <v>4423289488</v>
      </c>
      <c r="O30" s="570">
        <f t="shared" si="2"/>
        <v>3631301795</v>
      </c>
      <c r="Q30" s="19">
        <f>+'2.1. sz. PMH'!AP30+'2.2. sz. Hétszínvirág Óvoda'!AD30+'2.3. sz. Mese Óvoda'!X30+'2.4. sz. Bölcsőde'!U30+'2.5. sz. Gyermekjóléti'!AA30+'2.6 sz. Területi'!BK30+'2.7. sz. Könyvtár'!AD30+'2.8. sz. Műv.Ház'!AD30+'2.9. sz. Szivárvány Ó.'!AA30</f>
        <v>3631301795</v>
      </c>
      <c r="R30" s="80">
        <f t="shared" si="3"/>
        <v>0</v>
      </c>
    </row>
    <row r="31" spans="1:18" ht="23.25" customHeight="1" x14ac:dyDescent="0.25">
      <c r="A31" s="25" t="s">
        <v>263</v>
      </c>
      <c r="B31" s="27" t="s">
        <v>52</v>
      </c>
      <c r="C31" s="31" t="s">
        <v>212</v>
      </c>
      <c r="D31" s="6">
        <f>SUMIFS('2.1. sz. PMH'!D31:AL31,'2.1. sz. PMH'!$D$5:$AL$5,"kötelező",'2.1. sz. PMH'!$D$3:$AL$3,"Eredeti előirányzat")+SUMIFS('2.2. sz. Hétszínvirág Óvoda'!D31:Z31,'2.2. sz. Hétszínvirág Óvoda'!$D$5:$Z$5,"kötelező",'2.2. sz. Hétszínvirág Óvoda'!$D$3:$Z$3,"Eredeti előirányzat")+SUMIFS('2.3. sz. Mese Óvoda'!D31:T31,'2.3. sz. Mese Óvoda'!$D$5:$T$5,"kötelező",'2.3. sz. Mese Óvoda'!$D$3:$T$3,"Eredeti előirányzat")+SUMIFS('2.4. sz. Bölcsőde'!D31:Q31,'2.4. sz. Bölcsőde'!$D$5:$Q$5,"kötelező",'2.4. sz. Bölcsőde'!$D$3:$Q$3,"Eredeti előirányzat")+SUMIFS('2.5. sz. Gyermekjóléti'!D31:W31,'2.5. sz. Gyermekjóléti'!$D$5:$W$5,"kötelező",'2.5. sz. Gyermekjóléti'!$D$3:$W$3,"Eredeti előirányzat")+SUMIFS('2.6 sz. Területi'!D31:BG31,'2.6 sz. Területi'!$D$5:$BG$5,"kötelező",'2.6 sz. Területi'!$D$3:$BG$3,"Eredeti előirányzat")+SUMIFS('2.7. sz. Könyvtár'!D31:Z31,'2.7. sz. Könyvtár'!$D$5:$Z$5,"kötelező",'2.7. sz. Könyvtár'!$D$3:$Z$3,"Eredeti előirányzat")+SUMIFS('2.8. sz. Műv.Ház'!D31:Z31,'2.8. sz. Műv.Ház'!$D$5:$Z$5,"kötelező",'2.8. sz. Műv.Ház'!$D$3:$Z$3,"Eredeti előirányzat")+SUMIFS('2.9. sz. Szivárvány Ó.'!D31:W31,'2.9. sz. Szivárvány Ó.'!$D$5:$W$5,"kötelező",'2.9. sz. Szivárvány Ó.'!$D$3:$W$3,"Eredeti előirányzat")</f>
        <v>87000000</v>
      </c>
      <c r="E31" s="6">
        <f>+'2.1. sz. PMH'!E31+'2.1. sz. PMH'!H31+'2.1. sz. PMH'!W31+'2.1. sz. PMH'!AL31+'2.2. sz. Hétszínvirág Óvoda'!E31+'2.2. sz. Hétszínvirág Óvoda'!H31+'2.2. sz. Hétszínvirág Óvoda'!K31+'2.2. sz. Hétszínvirág Óvoda'!N31+'2.2. sz. Hétszínvirág Óvoda'!Q31+'2.2. sz. Hétszínvirág Óvoda'!T31+'2.2. sz. Hétszínvirág Óvoda'!W31+'2.2. sz. Hétszínvirág Óvoda'!Z31+'2.3. sz. Mese Óvoda'!E31+'2.3. sz. Mese Óvoda'!H31+'2.3. sz. Mese Óvoda'!K31+'2.3. sz. Mese Óvoda'!N31+'2.3. sz. Mese Óvoda'!Q31+'2.3. sz. Mese Óvoda'!T31+'2.4. sz. Bölcsőde'!E31+'2.4. sz. Bölcsőde'!H31+'2.4. sz. Bölcsőde'!K31+'2.4. sz. Bölcsőde'!N31+'2.4. sz. Bölcsőde'!Q31+'2.5. sz. Gyermekjóléti'!E31+'2.5. sz. Gyermekjóléti'!H31+'2.5. sz. Gyermekjóléti'!K31+'2.5. sz. Gyermekjóléti'!N31+'2.5. sz. Gyermekjóléti'!Q31+'2.5. sz. Gyermekjóléti'!T31+'2.5. sz. Gyermekjóléti'!W31+'2.6 sz. Területi'!E31+'2.6 sz. Területi'!H31+'2.6 sz. Területi'!K31+'2.6 sz. Területi'!T31+'2.6 sz. Területi'!W31+'2.6 sz. Területi'!AI31+'2.6 sz. Területi'!AL31+'2.6 sz. Területi'!AO31+'2.6 sz. Területi'!AR31+'2.6 sz. Területi'!AU31+'2.6 sz. Területi'!AX31+'2.6 sz. Területi'!BA31+'2.6 sz. Területi'!BD31+'2.6 sz. Területi'!BG31+'2.7. sz. Könyvtár'!E31+'2.7. sz. Könyvtár'!H31+'2.7. sz. Könyvtár'!K31+'2.7. sz. Könyvtár'!N31+'2.7. sz. Könyvtár'!Q31+'2.7. sz. Könyvtár'!T31+'2.7. sz. Könyvtár'!W31+'2.7. sz. Könyvtár'!Z31+'2.8. sz. Műv.Ház'!E31+'2.8. sz. Műv.Ház'!H31+'2.8. sz. Műv.Ház'!K31+'2.8. sz. Műv.Ház'!Q31+'2.8. sz. Műv.Ház'!T31+'2.8. sz. Műv.Ház'!W31+'2.8. sz. Műv.Ház'!Z31+'2.9. sz. Szivárvány Ó.'!E31+'2.9. sz. Szivárvány Ó.'!H31+'2.9. sz. Szivárvány Ó.'!K31+'2.9. sz. Szivárvány Ó.'!N31+'2.9. sz. Szivárvány Ó.'!Q31+'2.9. sz. Szivárvány Ó.'!T31+'2.9. sz. Szivárvány Ó.'!W31</f>
        <v>110282400</v>
      </c>
      <c r="F31" s="6">
        <f>+'2.1. sz. PMH'!AQ31+'2.2. sz. Hétszínvirág Óvoda'!AD31+'2.3. sz. Mese Óvoda'!X31+'2.4. sz. Bölcsőde'!U31+'2.5. sz. Gyermekjóléti'!AA31+'2.6 sz. Területi'!BL31+'2.7. sz. Könyvtár'!AD31+'2.8. sz. Műv.Ház'!AE31+'2.9. sz. Szivárvány Ó.'!AA31</f>
        <v>110274400</v>
      </c>
      <c r="G31" s="6">
        <f>SUMIFS('2.1. sz. PMH'!D31:AL31,'2.1. sz. PMH'!$D$5:$AL$5,"önként vállalt",'2.1. sz. PMH'!$D$3:$AL$3,"Eredeti előirányzat")+SUMIFS('2.2. sz. Hétszínvirág Óvoda'!D31:Z31,'2.2. sz. Hétszínvirág Óvoda'!$D$5:$Z$5,"önként vállalt",'2.2. sz. Hétszínvirág Óvoda'!$D$3:$Z$3,"Eredeti előirányzat")+SUMIFS('2.3. sz. Mese Óvoda'!D31:T31,'2.3. sz. Mese Óvoda'!$D$5:$T$5,"önként vállalt",'2.3. sz. Mese Óvoda'!$D$3:$T$3,"Eredeti előirányzat")+SUMIFS('2.4. sz. Bölcsőde'!D31:Q31,'2.4. sz. Bölcsőde'!$D$5:$Q$5,"önként vállalt",'2.4. sz. Bölcsőde'!$D$3:$Q$3,"Eredeti előirányzat")+SUMIFS('2.5. sz. Gyermekjóléti'!D31:W31,'2.5. sz. Gyermekjóléti'!$D$5:$W$5,"önként vállalt",'2.5. sz. Gyermekjóléti'!$D$3:$W$3,"Eredeti előirányzat")+SUMIFS('2.6 sz. Területi'!D31:BG31,'2.6 sz. Területi'!$D$5:$BG$5,"önként vállalt",'2.6 sz. Területi'!$D$3:$BG$3,"Eredeti előirányzat")+SUMIFS('2.7. sz. Könyvtár'!D31:Z31,'2.7. sz. Könyvtár'!$D$5:$Z$5,"önként vállalt",'2.7. sz. Könyvtár'!$D$3:$Z$3,"Eredeti előirányzat")+SUMIFS('2.8. sz. Műv.Ház'!D31:Z31,'2.8. sz. Műv.Ház'!$D$5:$Z$5,"önként vállalt",'2.8. sz. Műv.Ház'!$D$3:$Z$3,"Eredeti előirányzat")+SUMIFS('2.9. sz. Szivárvány Ó.'!D31:W31,'2.9. sz. Szivárvány Ó.'!$D$5:$W$5,"önként vállalt",'2.9. sz. Szivárvány Ó.'!$D$3:$W$3,"Eredeti előirányzat")</f>
        <v>0</v>
      </c>
      <c r="H31" s="6">
        <f>+'2.6 sz. Területi'!N31+'2.6 sz. Területi'!Q31+'2.6 sz. Területi'!Z31+'2.6 sz. Területi'!AC31+'2.6 sz. Területi'!AF31+'2.8. sz. Műv.Ház'!N31</f>
        <v>0</v>
      </c>
      <c r="I31" s="6">
        <f>+'2.6 sz. Területi'!BM31+'2.8. sz. Műv.Ház'!AF31</f>
        <v>0</v>
      </c>
      <c r="J31" s="6">
        <f>SUMIFS('2.1. sz. PMH'!D31:AL31,'2.1. sz. PMH'!$D$5:$AL$5,"államigazgatási",'2.1. sz. PMH'!$D$3:$AL$3,"Eredeti előirányzat")+SUMIFS('2.2. sz. Hétszínvirág Óvoda'!D31:Z31,'2.2. sz. Hétszínvirág Óvoda'!$D$5:$Z$5,"államigazgatási",'2.2. sz. Hétszínvirág Óvoda'!$D$3:$Z$3,"Eredeti előirányzat")+SUMIFS('2.3. sz. Mese Óvoda'!D31:T31,'2.3. sz. Mese Óvoda'!$D$5:$T$5,"államigazgatási",'2.3. sz. Mese Óvoda'!$D$3:$T$3,"Eredeti előirányzat")+SUMIFS('2.4. sz. Bölcsőde'!D31:Q31,'2.4. sz. Bölcsőde'!$D$5:$Q$5,"államigazgatási",'2.4. sz. Bölcsőde'!$D$3:$Q$3,"Eredeti előirányzat")+SUMIFS('2.5. sz. Gyermekjóléti'!D31:W31,'2.5. sz. Gyermekjóléti'!$D$5:$W$5,"államigazgatási",'2.5. sz. Gyermekjóléti'!$D$3:$W$3,"Eredeti előirányzat")+SUMIFS('2.6 sz. Területi'!D31:BG31,'2.6 sz. Területi'!$D$5:$BG$5,"államigazgatási",'2.6 sz. Területi'!$D$3:$BG$3,"Eredeti előirányzat")+SUMIFS('2.7. sz. Könyvtár'!D31:Z31,'2.7. sz. Könyvtár'!$D$5:$Z$5,"államigazgatási",'2.7. sz. Könyvtár'!$D$3:$Z$3,"Eredeti előirányzat")+SUMIFS('2.8. sz. Műv.Ház'!D31:Z31,'2.8. sz. Műv.Ház'!$D$5:$Z$5,"államigazgatási",'2.8. sz. Műv.Ház'!$D$3:$Z$3,"Eredeti előirányzat")+SUMIFS('2.9. sz. Szivárvány Ó.'!D31:W31,'2.9. sz. Szivárvány Ó.'!$D$5:$W$5,"államigazgatási",'2.9. sz. Szivárvány Ó.'!$D$3:$W$3,"Eredeti előirányzat")</f>
        <v>0</v>
      </c>
      <c r="K31" s="6">
        <f>+'2.1. sz. PMH'!K31+'2.1. sz. PMH'!N31+'2.1. sz. PMH'!Q31+'2.1. sz. PMH'!T31+'2.1. sz. PMH'!Z31+'2.1. sz. PMH'!AC31+'2.1. sz. PMH'!AF31+'2.1. sz. PMH'!AI31</f>
        <v>25517026</v>
      </c>
      <c r="L31" s="6">
        <f>+'2.1. sz. PMH'!AS31</f>
        <v>25517026</v>
      </c>
      <c r="M31" s="6">
        <f t="shared" si="0"/>
        <v>87000000</v>
      </c>
      <c r="N31" s="569">
        <f t="shared" si="1"/>
        <v>135799426</v>
      </c>
      <c r="O31" s="569">
        <f t="shared" si="2"/>
        <v>135791426</v>
      </c>
      <c r="Q31" s="19">
        <f>+'2.1. sz. PMH'!AP31+'2.2. sz. Hétszínvirág Óvoda'!AD31+'2.3. sz. Mese Óvoda'!X31+'2.4. sz. Bölcsőde'!U31+'2.5. sz. Gyermekjóléti'!AA31+'2.6 sz. Területi'!BK31+'2.7. sz. Könyvtár'!AD31+'2.8. sz. Műv.Ház'!AD31+'2.9. sz. Szivárvány Ó.'!AA31</f>
        <v>135791426</v>
      </c>
      <c r="R31" s="80">
        <f t="shared" si="3"/>
        <v>0</v>
      </c>
    </row>
    <row r="32" spans="1:18" ht="23.25" customHeight="1" x14ac:dyDescent="0.25">
      <c r="A32" s="25" t="s">
        <v>264</v>
      </c>
      <c r="B32" s="27" t="s">
        <v>223</v>
      </c>
      <c r="C32" s="31" t="s">
        <v>213</v>
      </c>
      <c r="D32" s="6">
        <f>SUMIFS('2.1. sz. PMH'!D32:AL32,'2.1. sz. PMH'!$D$5:$AL$5,"kötelező",'2.1. sz. PMH'!$D$3:$AL$3,"Eredeti előirányzat")+SUMIFS('2.2. sz. Hétszínvirág Óvoda'!D32:Z32,'2.2. sz. Hétszínvirág Óvoda'!$D$5:$Z$5,"kötelező",'2.2. sz. Hétszínvirág Óvoda'!$D$3:$Z$3,"Eredeti előirányzat")+SUMIFS('2.3. sz. Mese Óvoda'!D32:T32,'2.3. sz. Mese Óvoda'!$D$5:$T$5,"kötelező",'2.3. sz. Mese Óvoda'!$D$3:$T$3,"Eredeti előirányzat")+SUMIFS('2.4. sz. Bölcsőde'!D32:Q32,'2.4. sz. Bölcsőde'!$D$5:$Q$5,"kötelező",'2.4. sz. Bölcsőde'!$D$3:$Q$3,"Eredeti előirányzat")+SUMIFS('2.5. sz. Gyermekjóléti'!D32:W32,'2.5. sz. Gyermekjóléti'!$D$5:$W$5,"kötelező",'2.5. sz. Gyermekjóléti'!$D$3:$W$3,"Eredeti előirányzat")+SUMIFS('2.6 sz. Területi'!D32:BG32,'2.6 sz. Területi'!$D$5:$BG$5,"kötelező",'2.6 sz. Területi'!$D$3:$BG$3,"Eredeti előirányzat")+SUMIFS('2.7. sz. Könyvtár'!D32:Z32,'2.7. sz. Könyvtár'!$D$5:$Z$5,"kötelező",'2.7. sz. Könyvtár'!$D$3:$Z$3,"Eredeti előirányzat")+SUMIFS('2.8. sz. Műv.Ház'!D32:Z32,'2.8. sz. Műv.Ház'!$D$5:$Z$5,"kötelező",'2.8. sz. Műv.Ház'!$D$3:$Z$3,"Eredeti előirányzat")+SUMIFS('2.9. sz. Szivárvány Ó.'!D32:W32,'2.9. sz. Szivárvány Ó.'!$D$5:$W$5,"kötelező",'2.9. sz. Szivárvány Ó.'!$D$3:$W$3,"Eredeti előirányzat")</f>
        <v>0</v>
      </c>
      <c r="E32" s="6">
        <f>+'2.1. sz. PMH'!E32+'2.1. sz. PMH'!H32+'2.1. sz. PMH'!W32+'2.1. sz. PMH'!AL32+'2.2. sz. Hétszínvirág Óvoda'!E32+'2.2. sz. Hétszínvirág Óvoda'!H32+'2.2. sz. Hétszínvirág Óvoda'!K32+'2.2. sz. Hétszínvirág Óvoda'!N32+'2.2. sz. Hétszínvirág Óvoda'!Q32+'2.2. sz. Hétszínvirág Óvoda'!T32+'2.2. sz. Hétszínvirág Óvoda'!W32+'2.2. sz. Hétszínvirág Óvoda'!Z32+'2.3. sz. Mese Óvoda'!E32+'2.3. sz. Mese Óvoda'!H32+'2.3. sz. Mese Óvoda'!K32+'2.3. sz. Mese Óvoda'!N32+'2.3. sz. Mese Óvoda'!Q32+'2.3. sz. Mese Óvoda'!T32+'2.4. sz. Bölcsőde'!E32+'2.4. sz. Bölcsőde'!H32+'2.4. sz. Bölcsőde'!K32+'2.4. sz. Bölcsőde'!N32+'2.4. sz. Bölcsőde'!Q32+'2.5. sz. Gyermekjóléti'!E32+'2.5. sz. Gyermekjóléti'!H32+'2.5. sz. Gyermekjóléti'!K32+'2.5. sz. Gyermekjóléti'!N32+'2.5. sz. Gyermekjóléti'!Q32+'2.5. sz. Gyermekjóléti'!T32+'2.5. sz. Gyermekjóléti'!W32+'2.6 sz. Területi'!E32+'2.6 sz. Területi'!H32+'2.6 sz. Területi'!K32+'2.6 sz. Területi'!T32+'2.6 sz. Területi'!W32+'2.6 sz. Területi'!AI32+'2.6 sz. Területi'!AL32+'2.6 sz. Területi'!AO32+'2.6 sz. Területi'!AR32+'2.6 sz. Területi'!AU32+'2.6 sz. Területi'!AX32+'2.6 sz. Területi'!BA32+'2.6 sz. Területi'!BD32+'2.6 sz. Területi'!BG32+'2.7. sz. Könyvtár'!E32+'2.7. sz. Könyvtár'!H32+'2.7. sz. Könyvtár'!K32+'2.7. sz. Könyvtár'!N32+'2.7. sz. Könyvtár'!Q32+'2.7. sz. Könyvtár'!T32+'2.7. sz. Könyvtár'!W32+'2.7. sz. Könyvtár'!Z32+'2.8. sz. Műv.Ház'!E32+'2.8. sz. Műv.Ház'!H32+'2.8. sz. Műv.Ház'!K32+'2.8. sz. Műv.Ház'!Q32+'2.8. sz. Műv.Ház'!T32+'2.8. sz. Műv.Ház'!W32+'2.8. sz. Műv.Ház'!Z32+'2.9. sz. Szivárvány Ó.'!E32+'2.9. sz. Szivárvány Ó.'!H32+'2.9. sz. Szivárvány Ó.'!K32+'2.9. sz. Szivárvány Ó.'!N32+'2.9. sz. Szivárvány Ó.'!Q32+'2.9. sz. Szivárvány Ó.'!T32+'2.9. sz. Szivárvány Ó.'!W32</f>
        <v>0</v>
      </c>
      <c r="F32" s="6">
        <f>+'2.1. sz. PMH'!AQ32+'2.2. sz. Hétszínvirág Óvoda'!AD32+'2.3. sz. Mese Óvoda'!X32+'2.4. sz. Bölcsőde'!U32+'2.5. sz. Gyermekjóléti'!AA32+'2.6 sz. Területi'!BL32+'2.7. sz. Könyvtár'!AD32+'2.8. sz. Műv.Ház'!AE32+'2.9. sz. Szivárvány Ó.'!AA32</f>
        <v>0</v>
      </c>
      <c r="G32" s="6">
        <f>SUMIFS('2.1. sz. PMH'!D32:AL32,'2.1. sz. PMH'!$D$5:$AL$5,"önként vállalt",'2.1. sz. PMH'!$D$3:$AL$3,"Eredeti előirányzat")+SUMIFS('2.2. sz. Hétszínvirág Óvoda'!D32:Z32,'2.2. sz. Hétszínvirág Óvoda'!$D$5:$Z$5,"önként vállalt",'2.2. sz. Hétszínvirág Óvoda'!$D$3:$Z$3,"Eredeti előirányzat")+SUMIFS('2.3. sz. Mese Óvoda'!D32:T32,'2.3. sz. Mese Óvoda'!$D$5:$T$5,"önként vállalt",'2.3. sz. Mese Óvoda'!$D$3:$T$3,"Eredeti előirányzat")+SUMIFS('2.4. sz. Bölcsőde'!D32:Q32,'2.4. sz. Bölcsőde'!$D$5:$Q$5,"önként vállalt",'2.4. sz. Bölcsőde'!$D$3:$Q$3,"Eredeti előirányzat")+SUMIFS('2.5. sz. Gyermekjóléti'!D32:W32,'2.5. sz. Gyermekjóléti'!$D$5:$W$5,"önként vállalt",'2.5. sz. Gyermekjóléti'!$D$3:$W$3,"Eredeti előirányzat")+SUMIFS('2.6 sz. Területi'!D32:BG32,'2.6 sz. Területi'!$D$5:$BG$5,"önként vállalt",'2.6 sz. Területi'!$D$3:$BG$3,"Eredeti előirányzat")+SUMIFS('2.7. sz. Könyvtár'!D32:Z32,'2.7. sz. Könyvtár'!$D$5:$Z$5,"önként vállalt",'2.7. sz. Könyvtár'!$D$3:$Z$3,"Eredeti előirányzat")+SUMIFS('2.8. sz. Műv.Ház'!D32:Z32,'2.8. sz. Műv.Ház'!$D$5:$Z$5,"önként vállalt",'2.8. sz. Műv.Ház'!$D$3:$Z$3,"Eredeti előirányzat")+SUMIFS('2.9. sz. Szivárvány Ó.'!D32:W32,'2.9. sz. Szivárvány Ó.'!$D$5:$W$5,"önként vállalt",'2.9. sz. Szivárvány Ó.'!$D$3:$W$3,"Eredeti előirányzat")</f>
        <v>0</v>
      </c>
      <c r="H32" s="6">
        <f>+'2.6 sz. Területi'!N32+'2.6 sz. Területi'!Q32+'2.6 sz. Területi'!Z32+'2.6 sz. Területi'!AC32+'2.6 sz. Területi'!AF32+'2.8. sz. Műv.Ház'!N32</f>
        <v>0</v>
      </c>
      <c r="I32" s="6">
        <f>+'2.6 sz. Területi'!BM32+'2.8. sz. Műv.Ház'!AF32</f>
        <v>0</v>
      </c>
      <c r="J32" s="6">
        <f>SUMIFS('2.1. sz. PMH'!D32:AL32,'2.1. sz. PMH'!$D$5:$AL$5,"államigazgatási",'2.1. sz. PMH'!$D$3:$AL$3,"Eredeti előirányzat")+SUMIFS('2.2. sz. Hétszínvirág Óvoda'!D32:Z32,'2.2. sz. Hétszínvirág Óvoda'!$D$5:$Z$5,"államigazgatási",'2.2. sz. Hétszínvirág Óvoda'!$D$3:$Z$3,"Eredeti előirányzat")+SUMIFS('2.3. sz. Mese Óvoda'!D32:T32,'2.3. sz. Mese Óvoda'!$D$5:$T$5,"államigazgatási",'2.3. sz. Mese Óvoda'!$D$3:$T$3,"Eredeti előirányzat")+SUMIFS('2.4. sz. Bölcsőde'!D32:Q32,'2.4. sz. Bölcsőde'!$D$5:$Q$5,"államigazgatási",'2.4. sz. Bölcsőde'!$D$3:$Q$3,"Eredeti előirányzat")+SUMIFS('2.5. sz. Gyermekjóléti'!D32:W32,'2.5. sz. Gyermekjóléti'!$D$5:$W$5,"államigazgatási",'2.5. sz. Gyermekjóléti'!$D$3:$W$3,"Eredeti előirányzat")+SUMIFS('2.6 sz. Területi'!D32:BG32,'2.6 sz. Területi'!$D$5:$BG$5,"államigazgatási",'2.6 sz. Területi'!$D$3:$BG$3,"Eredeti előirányzat")+SUMIFS('2.7. sz. Könyvtár'!D32:Z32,'2.7. sz. Könyvtár'!$D$5:$Z$5,"államigazgatási",'2.7. sz. Könyvtár'!$D$3:$Z$3,"Eredeti előirányzat")+SUMIFS('2.8. sz. Műv.Ház'!D32:Z32,'2.8. sz. Műv.Ház'!$D$5:$Z$5,"államigazgatási",'2.8. sz. Műv.Ház'!$D$3:$Z$3,"Eredeti előirányzat")+SUMIFS('2.9. sz. Szivárvány Ó.'!D32:W32,'2.9. sz. Szivárvány Ó.'!$D$5:$W$5,"államigazgatási",'2.9. sz. Szivárvány Ó.'!$D$3:$W$3,"Eredeti előirányzat")</f>
        <v>0</v>
      </c>
      <c r="K32" s="6">
        <f>+'2.1. sz. PMH'!K32+'2.1. sz. PMH'!N32+'2.1. sz. PMH'!Q32+'2.1. sz. PMH'!T32+'2.1. sz. PMH'!Z32+'2.1. sz. PMH'!AC32+'2.1. sz. PMH'!AF32+'2.1. sz. PMH'!AI32</f>
        <v>0</v>
      </c>
      <c r="L32" s="6">
        <f>+'2.1. sz. PMH'!AS32</f>
        <v>0</v>
      </c>
      <c r="M32" s="6">
        <f t="shared" si="0"/>
        <v>0</v>
      </c>
      <c r="N32" s="569">
        <f t="shared" si="1"/>
        <v>0</v>
      </c>
      <c r="O32" s="569">
        <f t="shared" si="2"/>
        <v>0</v>
      </c>
      <c r="Q32" s="19">
        <f>+'2.1. sz. PMH'!AP32+'2.2. sz. Hétszínvirág Óvoda'!AD32+'2.3. sz. Mese Óvoda'!X32+'2.4. sz. Bölcsőde'!U32+'2.5. sz. Gyermekjóléti'!AA32+'2.6 sz. Területi'!BK32+'2.7. sz. Könyvtár'!AD32+'2.8. sz. Műv.Ház'!AD32+'2.9. sz. Szivárvány Ó.'!AA32</f>
        <v>0</v>
      </c>
      <c r="R32" s="80">
        <f t="shared" si="3"/>
        <v>0</v>
      </c>
    </row>
    <row r="33" spans="1:18" ht="23.25" customHeight="1" x14ac:dyDescent="0.25">
      <c r="A33" s="25" t="s">
        <v>265</v>
      </c>
      <c r="B33" s="27" t="s">
        <v>222</v>
      </c>
      <c r="C33" s="31" t="s">
        <v>214</v>
      </c>
      <c r="D33" s="6">
        <f>SUMIFS('2.1. sz. PMH'!D33:AL33,'2.1. sz. PMH'!$D$5:$AL$5,"kötelező",'2.1. sz. PMH'!$D$3:$AL$3,"Eredeti előirányzat")+SUMIFS('2.2. sz. Hétszínvirág Óvoda'!D33:Z33,'2.2. sz. Hétszínvirág Óvoda'!$D$5:$Z$5,"kötelező",'2.2. sz. Hétszínvirág Óvoda'!$D$3:$Z$3,"Eredeti előirányzat")+SUMIFS('2.3. sz. Mese Óvoda'!D33:T33,'2.3. sz. Mese Óvoda'!$D$5:$T$5,"kötelező",'2.3. sz. Mese Óvoda'!$D$3:$T$3,"Eredeti előirányzat")+SUMIFS('2.4. sz. Bölcsőde'!D33:Q33,'2.4. sz. Bölcsőde'!$D$5:$Q$5,"kötelező",'2.4. sz. Bölcsőde'!$D$3:$Q$3,"Eredeti előirányzat")+SUMIFS('2.5. sz. Gyermekjóléti'!D33:W33,'2.5. sz. Gyermekjóléti'!$D$5:$W$5,"kötelező",'2.5. sz. Gyermekjóléti'!$D$3:$W$3,"Eredeti előirányzat")+SUMIFS('2.6 sz. Területi'!D33:BG33,'2.6 sz. Területi'!$D$5:$BG$5,"kötelező",'2.6 sz. Területi'!$D$3:$BG$3,"Eredeti előirányzat")+SUMIFS('2.7. sz. Könyvtár'!D33:Z33,'2.7. sz. Könyvtár'!$D$5:$Z$5,"kötelező",'2.7. sz. Könyvtár'!$D$3:$Z$3,"Eredeti előirányzat")+SUMIFS('2.8. sz. Műv.Ház'!D33:Z33,'2.8. sz. Műv.Ház'!$D$5:$Z$5,"kötelező",'2.8. sz. Műv.Ház'!$D$3:$Z$3,"Eredeti előirányzat")+SUMIFS('2.9. sz. Szivárvány Ó.'!D33:W33,'2.9. sz. Szivárvány Ó.'!$D$5:$W$5,"kötelező",'2.9. sz. Szivárvány Ó.'!$D$3:$W$3,"Eredeti előirányzat")</f>
        <v>0</v>
      </c>
      <c r="E33" s="6">
        <f>+'2.1. sz. PMH'!E33+'2.1. sz. PMH'!H33+'2.1. sz. PMH'!W33+'2.1. sz. PMH'!AL33+'2.2. sz. Hétszínvirág Óvoda'!E33+'2.2. sz. Hétszínvirág Óvoda'!H33+'2.2. sz. Hétszínvirág Óvoda'!K33+'2.2. sz. Hétszínvirág Óvoda'!N33+'2.2. sz. Hétszínvirág Óvoda'!Q33+'2.2. sz. Hétszínvirág Óvoda'!T33+'2.2. sz. Hétszínvirág Óvoda'!W33+'2.2. sz. Hétszínvirág Óvoda'!Z33+'2.3. sz. Mese Óvoda'!E33+'2.3. sz. Mese Óvoda'!H33+'2.3. sz. Mese Óvoda'!K33+'2.3. sz. Mese Óvoda'!N33+'2.3. sz. Mese Óvoda'!Q33+'2.3. sz. Mese Óvoda'!T33+'2.4. sz. Bölcsőde'!E33+'2.4. sz. Bölcsőde'!H33+'2.4. sz. Bölcsőde'!K33+'2.4. sz. Bölcsőde'!N33+'2.4. sz. Bölcsőde'!Q33+'2.5. sz. Gyermekjóléti'!E33+'2.5. sz. Gyermekjóléti'!H33+'2.5. sz. Gyermekjóléti'!K33+'2.5. sz. Gyermekjóléti'!N33+'2.5. sz. Gyermekjóléti'!Q33+'2.5. sz. Gyermekjóléti'!T33+'2.5. sz. Gyermekjóléti'!W33+'2.6 sz. Területi'!E33+'2.6 sz. Területi'!H33+'2.6 sz. Területi'!K33+'2.6 sz. Területi'!T33+'2.6 sz. Területi'!W33+'2.6 sz. Területi'!AI33+'2.6 sz. Területi'!AL33+'2.6 sz. Területi'!AO33+'2.6 sz. Területi'!AR33+'2.6 sz. Területi'!AU33+'2.6 sz. Területi'!AX33+'2.6 sz. Területi'!BA33+'2.6 sz. Területi'!BD33+'2.6 sz. Területi'!BG33+'2.7. sz. Könyvtár'!E33+'2.7. sz. Könyvtár'!H33+'2.7. sz. Könyvtár'!K33+'2.7. sz. Könyvtár'!N33+'2.7. sz. Könyvtár'!Q33+'2.7. sz. Könyvtár'!T33+'2.7. sz. Könyvtár'!W33+'2.7. sz. Könyvtár'!Z33+'2.8. sz. Műv.Ház'!E33+'2.8. sz. Műv.Ház'!H33+'2.8. sz. Műv.Ház'!K33+'2.8. sz. Műv.Ház'!Q33+'2.8. sz. Műv.Ház'!T33+'2.8. sz. Műv.Ház'!W33+'2.8. sz. Műv.Ház'!Z33+'2.9. sz. Szivárvány Ó.'!E33+'2.9. sz. Szivárvány Ó.'!H33+'2.9. sz. Szivárvány Ó.'!K33+'2.9. sz. Szivárvány Ó.'!N33+'2.9. sz. Szivárvány Ó.'!Q33+'2.9. sz. Szivárvány Ó.'!T33+'2.9. sz. Szivárvány Ó.'!W33</f>
        <v>10000</v>
      </c>
      <c r="F33" s="6">
        <f>+'2.1. sz. PMH'!AQ33+'2.2. sz. Hétszínvirág Óvoda'!AD33+'2.3. sz. Mese Óvoda'!X33+'2.4. sz. Bölcsőde'!U33+'2.5. sz. Gyermekjóléti'!AA33+'2.6 sz. Területi'!BL33+'2.7. sz. Könyvtár'!AD33+'2.8. sz. Műv.Ház'!AE33+'2.9. sz. Szivárvány Ó.'!AA33</f>
        <v>10000</v>
      </c>
      <c r="G33" s="6">
        <f>SUMIFS('2.1. sz. PMH'!D33:AL33,'2.1. sz. PMH'!$D$5:$AL$5,"önként vállalt",'2.1. sz. PMH'!$D$3:$AL$3,"Eredeti előirányzat")+SUMIFS('2.2. sz. Hétszínvirág Óvoda'!D33:Z33,'2.2. sz. Hétszínvirág Óvoda'!$D$5:$Z$5,"önként vállalt",'2.2. sz. Hétszínvirág Óvoda'!$D$3:$Z$3,"Eredeti előirányzat")+SUMIFS('2.3. sz. Mese Óvoda'!D33:T33,'2.3. sz. Mese Óvoda'!$D$5:$T$5,"önként vállalt",'2.3. sz. Mese Óvoda'!$D$3:$T$3,"Eredeti előirányzat")+SUMIFS('2.4. sz. Bölcsőde'!D33:Q33,'2.4. sz. Bölcsőde'!$D$5:$Q$5,"önként vállalt",'2.4. sz. Bölcsőde'!$D$3:$Q$3,"Eredeti előirányzat")+SUMIFS('2.5. sz. Gyermekjóléti'!D33:W33,'2.5. sz. Gyermekjóléti'!$D$5:$W$5,"önként vállalt",'2.5. sz. Gyermekjóléti'!$D$3:$W$3,"Eredeti előirányzat")+SUMIFS('2.6 sz. Területi'!D33:BG33,'2.6 sz. Területi'!$D$5:$BG$5,"önként vállalt",'2.6 sz. Területi'!$D$3:$BG$3,"Eredeti előirányzat")+SUMIFS('2.7. sz. Könyvtár'!D33:Z33,'2.7. sz. Könyvtár'!$D$5:$Z$5,"önként vállalt",'2.7. sz. Könyvtár'!$D$3:$Z$3,"Eredeti előirányzat")+SUMIFS('2.8. sz. Műv.Ház'!D33:Z33,'2.8. sz. Műv.Ház'!$D$5:$Z$5,"önként vállalt",'2.8. sz. Műv.Ház'!$D$3:$Z$3,"Eredeti előirányzat")+SUMIFS('2.9. sz. Szivárvány Ó.'!D33:W33,'2.9. sz. Szivárvány Ó.'!$D$5:$W$5,"önként vállalt",'2.9. sz. Szivárvány Ó.'!$D$3:$W$3,"Eredeti előirányzat")</f>
        <v>0</v>
      </c>
      <c r="H33" s="6">
        <f>+'2.6 sz. Területi'!N33+'2.6 sz. Területi'!Q33+'2.6 sz. Területi'!Z33+'2.6 sz. Területi'!AC33+'2.6 sz. Területi'!AF33+'2.8. sz. Műv.Ház'!N33</f>
        <v>0</v>
      </c>
      <c r="I33" s="6">
        <f>+'2.6 sz. Területi'!BM33+'2.8. sz. Műv.Ház'!AF33</f>
        <v>0</v>
      </c>
      <c r="J33" s="6">
        <f>SUMIFS('2.1. sz. PMH'!D33:AL33,'2.1. sz. PMH'!$D$5:$AL$5,"államigazgatási",'2.1. sz. PMH'!$D$3:$AL$3,"Eredeti előirányzat")+SUMIFS('2.2. sz. Hétszínvirág Óvoda'!D33:Z33,'2.2. sz. Hétszínvirág Óvoda'!$D$5:$Z$5,"államigazgatási",'2.2. sz. Hétszínvirág Óvoda'!$D$3:$Z$3,"Eredeti előirányzat")+SUMIFS('2.3. sz. Mese Óvoda'!D33:T33,'2.3. sz. Mese Óvoda'!$D$5:$T$5,"államigazgatási",'2.3. sz. Mese Óvoda'!$D$3:$T$3,"Eredeti előirányzat")+SUMIFS('2.4. sz. Bölcsőde'!D33:Q33,'2.4. sz. Bölcsőde'!$D$5:$Q$5,"államigazgatási",'2.4. sz. Bölcsőde'!$D$3:$Q$3,"Eredeti előirányzat")+SUMIFS('2.5. sz. Gyermekjóléti'!D33:W33,'2.5. sz. Gyermekjóléti'!$D$5:$W$5,"államigazgatási",'2.5. sz. Gyermekjóléti'!$D$3:$W$3,"Eredeti előirányzat")+SUMIFS('2.6 sz. Területi'!D33:BG33,'2.6 sz. Területi'!$D$5:$BG$5,"államigazgatási",'2.6 sz. Területi'!$D$3:$BG$3,"Eredeti előirányzat")+SUMIFS('2.7. sz. Könyvtár'!D33:Z33,'2.7. sz. Könyvtár'!$D$5:$Z$5,"államigazgatási",'2.7. sz. Könyvtár'!$D$3:$Z$3,"Eredeti előirányzat")+SUMIFS('2.8. sz. Műv.Ház'!D33:Z33,'2.8. sz. Műv.Ház'!$D$5:$Z$5,"államigazgatási",'2.8. sz. Műv.Ház'!$D$3:$Z$3,"Eredeti előirányzat")+SUMIFS('2.9. sz. Szivárvány Ó.'!D33:W33,'2.9. sz. Szivárvány Ó.'!$D$5:$W$5,"államigazgatási",'2.9. sz. Szivárvány Ó.'!$D$3:$W$3,"Eredeti előirányzat")</f>
        <v>4000000</v>
      </c>
      <c r="K33" s="6">
        <f>+'2.1. sz. PMH'!K33+'2.1. sz. PMH'!N33+'2.1. sz. PMH'!Q33+'2.1. sz. PMH'!T33+'2.1. sz. PMH'!Z33+'2.1. sz. PMH'!AC33+'2.1. sz. PMH'!AF33+'2.1. sz. PMH'!AI33</f>
        <v>4120000</v>
      </c>
      <c r="L33" s="6">
        <f>+'2.1. sz. PMH'!AS33</f>
        <v>4120000</v>
      </c>
      <c r="M33" s="6">
        <f t="shared" si="0"/>
        <v>4000000</v>
      </c>
      <c r="N33" s="569">
        <f t="shared" si="1"/>
        <v>4130000</v>
      </c>
      <c r="O33" s="569">
        <f t="shared" si="2"/>
        <v>4130000</v>
      </c>
      <c r="Q33" s="19">
        <f>+'2.1. sz. PMH'!AP33+'2.2. sz. Hétszínvirág Óvoda'!AD33+'2.3. sz. Mese Óvoda'!X33+'2.4. sz. Bölcsőde'!U33+'2.5. sz. Gyermekjóléti'!AA33+'2.6 sz. Területi'!BK33+'2.7. sz. Könyvtár'!AD33+'2.8. sz. Műv.Ház'!AD33+'2.9. sz. Szivárvány Ó.'!AA33</f>
        <v>4130000</v>
      </c>
      <c r="R33" s="80">
        <f t="shared" si="3"/>
        <v>0</v>
      </c>
    </row>
    <row r="34" spans="1:18" ht="23.25" customHeight="1" x14ac:dyDescent="0.25">
      <c r="A34" s="25" t="s">
        <v>266</v>
      </c>
      <c r="B34" s="28" t="s">
        <v>0</v>
      </c>
      <c r="C34" s="31" t="s">
        <v>215</v>
      </c>
      <c r="D34" s="6">
        <f>SUMIFS('2.1. sz. PMH'!D34:AL34,'2.1. sz. PMH'!$D$5:$AL$5,"kötelező",'2.1. sz. PMH'!$D$3:$AL$3,"Eredeti előirányzat")+SUMIFS('2.2. sz. Hétszínvirág Óvoda'!D34:Z34,'2.2. sz. Hétszínvirág Óvoda'!$D$5:$Z$5,"kötelező",'2.2. sz. Hétszínvirág Óvoda'!$D$3:$Z$3,"Eredeti előirányzat")+SUMIFS('2.3. sz. Mese Óvoda'!D34:T34,'2.3. sz. Mese Óvoda'!$D$5:$T$5,"kötelező",'2.3. sz. Mese Óvoda'!$D$3:$T$3,"Eredeti előirányzat")+SUMIFS('2.4. sz. Bölcsőde'!D34:Q34,'2.4. sz. Bölcsőde'!$D$5:$Q$5,"kötelező",'2.4. sz. Bölcsőde'!$D$3:$Q$3,"Eredeti előirányzat")+SUMIFS('2.5. sz. Gyermekjóléti'!D34:W34,'2.5. sz. Gyermekjóléti'!$D$5:$W$5,"kötelező",'2.5. sz. Gyermekjóléti'!$D$3:$W$3,"Eredeti előirányzat")+SUMIFS('2.6 sz. Területi'!D34:BG34,'2.6 sz. Területi'!$D$5:$BG$5,"kötelező",'2.6 sz. Területi'!$D$3:$BG$3,"Eredeti előirányzat")+SUMIFS('2.7. sz. Könyvtár'!D34:Z34,'2.7. sz. Könyvtár'!$D$5:$Z$5,"kötelező",'2.7. sz. Könyvtár'!$D$3:$Z$3,"Eredeti előirányzat")+SUMIFS('2.8. sz. Műv.Ház'!D34:Z34,'2.8. sz. Műv.Ház'!$D$5:$Z$5,"kötelező",'2.8. sz. Műv.Ház'!$D$3:$Z$3,"Eredeti előirányzat")+SUMIFS('2.9. sz. Szivárvány Ó.'!D34:W34,'2.9. sz. Szivárvány Ó.'!$D$5:$W$5,"kötelező",'2.9. sz. Szivárvány Ó.'!$D$3:$W$3,"Eredeti előirányzat")</f>
        <v>214232054</v>
      </c>
      <c r="E34" s="6">
        <f>+'2.1. sz. PMH'!E34+'2.1. sz. PMH'!H34+'2.1. sz. PMH'!W34+'2.1. sz. PMH'!AL34+'2.2. sz. Hétszínvirág Óvoda'!E34+'2.2. sz. Hétszínvirág Óvoda'!H34+'2.2. sz. Hétszínvirág Óvoda'!K34+'2.2. sz. Hétszínvirág Óvoda'!N34+'2.2. sz. Hétszínvirág Óvoda'!Q34+'2.2. sz. Hétszínvirág Óvoda'!T34+'2.2. sz. Hétszínvirág Óvoda'!W34+'2.2. sz. Hétszínvirág Óvoda'!Z34+'2.3. sz. Mese Óvoda'!E34+'2.3. sz. Mese Óvoda'!H34+'2.3. sz. Mese Óvoda'!K34+'2.3. sz. Mese Óvoda'!N34+'2.3. sz. Mese Óvoda'!Q34+'2.3. sz. Mese Óvoda'!T34+'2.4. sz. Bölcsőde'!E34+'2.4. sz. Bölcsőde'!H34+'2.4. sz. Bölcsőde'!K34+'2.4. sz. Bölcsőde'!N34+'2.4. sz. Bölcsőde'!Q34+'2.5. sz. Gyermekjóléti'!E34+'2.5. sz. Gyermekjóléti'!H34+'2.5. sz. Gyermekjóléti'!K34+'2.5. sz. Gyermekjóléti'!N34+'2.5. sz. Gyermekjóléti'!Q34+'2.5. sz. Gyermekjóléti'!T34+'2.5. sz. Gyermekjóléti'!W34+'2.6 sz. Területi'!E34+'2.6 sz. Területi'!H34+'2.6 sz. Területi'!K34+'2.6 sz. Területi'!T34+'2.6 sz. Területi'!W34+'2.6 sz. Területi'!AI34+'2.6 sz. Területi'!AL34+'2.6 sz. Területi'!AO34+'2.6 sz. Területi'!AR34+'2.6 sz. Területi'!AU34+'2.6 sz. Területi'!AX34+'2.6 sz. Területi'!BA34+'2.6 sz. Területi'!BD34+'2.6 sz. Területi'!BG34+'2.7. sz. Könyvtár'!E34+'2.7. sz. Könyvtár'!H34+'2.7. sz. Könyvtár'!K34+'2.7. sz. Könyvtár'!N34+'2.7. sz. Könyvtár'!Q34+'2.7. sz. Könyvtár'!T34+'2.7. sz. Könyvtár'!W34+'2.7. sz. Könyvtár'!Z34+'2.8. sz. Műv.Ház'!E34+'2.8. sz. Műv.Ház'!H34+'2.8. sz. Műv.Ház'!K34+'2.8. sz. Műv.Ház'!Q34+'2.8. sz. Műv.Ház'!T34+'2.8. sz. Műv.Ház'!W34+'2.8. sz. Műv.Ház'!Z34+'2.9. sz. Szivárvány Ó.'!E34+'2.9. sz. Szivárvány Ó.'!H34+'2.9. sz. Szivárvány Ó.'!K34+'2.9. sz. Szivárvány Ó.'!N34+'2.9. sz. Szivárvány Ó.'!Q34+'2.9. sz. Szivárvány Ó.'!T34+'2.9. sz. Szivárvány Ó.'!W34</f>
        <v>301486601</v>
      </c>
      <c r="F34" s="6">
        <f>+'2.1. sz. PMH'!AQ34+'2.2. sz. Hétszínvirág Óvoda'!AD34+'2.3. sz. Mese Óvoda'!X34+'2.4. sz. Bölcsőde'!U34+'2.5. sz. Gyermekjóléti'!AA34+'2.6 sz. Területi'!BL34+'2.7. sz. Könyvtár'!AD34+'2.8. sz. Műv.Ház'!AE34+'2.9. sz. Szivárvány Ó.'!AA34</f>
        <v>262779807</v>
      </c>
      <c r="G34" s="6">
        <f>SUMIFS('2.1. sz. PMH'!D34:AL34,'2.1. sz. PMH'!$D$5:$AL$5,"önként vállalt",'2.1. sz. PMH'!$D$3:$AL$3,"Eredeti előirányzat")+SUMIFS('2.2. sz. Hétszínvirág Óvoda'!D34:Z34,'2.2. sz. Hétszínvirág Óvoda'!$D$5:$Z$5,"önként vállalt",'2.2. sz. Hétszínvirág Óvoda'!$D$3:$Z$3,"Eredeti előirányzat")+SUMIFS('2.3. sz. Mese Óvoda'!D34:T34,'2.3. sz. Mese Óvoda'!$D$5:$T$5,"önként vállalt",'2.3. sz. Mese Óvoda'!$D$3:$T$3,"Eredeti előirányzat")+SUMIFS('2.4. sz. Bölcsőde'!D34:Q34,'2.4. sz. Bölcsőde'!$D$5:$Q$5,"önként vállalt",'2.4. sz. Bölcsőde'!$D$3:$Q$3,"Eredeti előirányzat")+SUMIFS('2.5. sz. Gyermekjóléti'!D34:W34,'2.5. sz. Gyermekjóléti'!$D$5:$W$5,"önként vállalt",'2.5. sz. Gyermekjóléti'!$D$3:$W$3,"Eredeti előirányzat")+SUMIFS('2.6 sz. Területi'!D34:BG34,'2.6 sz. Területi'!$D$5:$BG$5,"önként vállalt",'2.6 sz. Területi'!$D$3:$BG$3,"Eredeti előirányzat")+SUMIFS('2.7. sz. Könyvtár'!D34:Z34,'2.7. sz. Könyvtár'!$D$5:$Z$5,"önként vállalt",'2.7. sz. Könyvtár'!$D$3:$Z$3,"Eredeti előirányzat")+SUMIFS('2.8. sz. Műv.Ház'!D34:Z34,'2.8. sz. Műv.Ház'!$D$5:$Z$5,"önként vállalt",'2.8. sz. Műv.Ház'!$D$3:$Z$3,"Eredeti előirányzat")+SUMIFS('2.9. sz. Szivárvány Ó.'!D34:W34,'2.9. sz. Szivárvány Ó.'!$D$5:$W$5,"önként vállalt",'2.9. sz. Szivárvány Ó.'!$D$3:$W$3,"Eredeti előirányzat")</f>
        <v>3800000</v>
      </c>
      <c r="H34" s="6">
        <f>+'2.6 sz. Területi'!N34+'2.6 sz. Területi'!Q34+'2.6 sz. Területi'!Z34+'2.6 sz. Területi'!AC34+'2.6 sz. Területi'!AF34+'2.8. sz. Műv.Ház'!N34</f>
        <v>3945640</v>
      </c>
      <c r="I34" s="6">
        <f>+'2.6 sz. Területi'!BM34+'2.8. sz. Műv.Ház'!AF34</f>
        <v>3945640</v>
      </c>
      <c r="J34" s="6">
        <f>SUMIFS('2.1. sz. PMH'!D34:AL34,'2.1. sz. PMH'!$D$5:$AL$5,"államigazgatási",'2.1. sz. PMH'!$D$3:$AL$3,"Eredeti előirányzat")+SUMIFS('2.2. sz. Hétszínvirág Óvoda'!D34:Z34,'2.2. sz. Hétszínvirág Óvoda'!$D$5:$Z$5,"államigazgatási",'2.2. sz. Hétszínvirág Óvoda'!$D$3:$Z$3,"Eredeti előirányzat")+SUMIFS('2.3. sz. Mese Óvoda'!D34:T34,'2.3. sz. Mese Óvoda'!$D$5:$T$5,"államigazgatási",'2.3. sz. Mese Óvoda'!$D$3:$T$3,"Eredeti előirányzat")+SUMIFS('2.4. sz. Bölcsőde'!D34:Q34,'2.4. sz. Bölcsőde'!$D$5:$Q$5,"államigazgatási",'2.4. sz. Bölcsőde'!$D$3:$Q$3,"Eredeti előirányzat")+SUMIFS('2.5. sz. Gyermekjóléti'!D34:W34,'2.5. sz. Gyermekjóléti'!$D$5:$W$5,"államigazgatási",'2.5. sz. Gyermekjóléti'!$D$3:$W$3,"Eredeti előirányzat")+SUMIFS('2.6 sz. Területi'!D34:BG34,'2.6 sz. Területi'!$D$5:$BG$5,"államigazgatási",'2.6 sz. Területi'!$D$3:$BG$3,"Eredeti előirányzat")+SUMIFS('2.7. sz. Könyvtár'!D34:Z34,'2.7. sz. Könyvtár'!$D$5:$Z$5,"államigazgatási",'2.7. sz. Könyvtár'!$D$3:$Z$3,"Eredeti előirányzat")+SUMIFS('2.8. sz. Műv.Ház'!D34:Z34,'2.8. sz. Műv.Ház'!$D$5:$Z$5,"államigazgatási",'2.8. sz. Műv.Ház'!$D$3:$Z$3,"Eredeti előirányzat")+SUMIFS('2.9. sz. Szivárvány Ó.'!D34:W34,'2.9. sz. Szivárvány Ó.'!$D$5:$W$5,"államigazgatási",'2.9. sz. Szivárvány Ó.'!$D$3:$W$3,"Eredeti előirányzat")</f>
        <v>0</v>
      </c>
      <c r="K34" s="6">
        <f>+'2.1. sz. PMH'!K34+'2.1. sz. PMH'!N34+'2.1. sz. PMH'!Q34+'2.1. sz. PMH'!T34+'2.1. sz. PMH'!Z34+'2.1. sz. PMH'!AC34+'2.1. sz. PMH'!AF34+'2.1. sz. PMH'!AI34</f>
        <v>10778</v>
      </c>
      <c r="L34" s="6">
        <f>+'2.1. sz. PMH'!AS34</f>
        <v>10778</v>
      </c>
      <c r="M34" s="6">
        <f t="shared" si="0"/>
        <v>218032054</v>
      </c>
      <c r="N34" s="569">
        <f t="shared" si="1"/>
        <v>305443019</v>
      </c>
      <c r="O34" s="569">
        <f t="shared" si="2"/>
        <v>266736225</v>
      </c>
      <c r="Q34" s="19">
        <f>+'2.1. sz. PMH'!AP34+'2.2. sz. Hétszínvirág Óvoda'!AD34+'2.3. sz. Mese Óvoda'!X34+'2.4. sz. Bölcsőde'!U34+'2.5. sz. Gyermekjóléti'!AA34+'2.6 sz. Területi'!BK34+'2.7. sz. Könyvtár'!AD34+'2.8. sz. Műv.Ház'!AD34+'2.9. sz. Szivárvány Ó.'!AA34</f>
        <v>266736225</v>
      </c>
      <c r="R34" s="80">
        <f t="shared" si="3"/>
        <v>0</v>
      </c>
    </row>
    <row r="35" spans="1:18" ht="23.25" customHeight="1" x14ac:dyDescent="0.25">
      <c r="A35" s="25" t="s">
        <v>267</v>
      </c>
      <c r="B35" s="27" t="s">
        <v>245</v>
      </c>
      <c r="C35" s="31" t="s">
        <v>216</v>
      </c>
      <c r="D35" s="6">
        <f>SUMIFS('2.1. sz. PMH'!D35:AL35,'2.1. sz. PMH'!$D$5:$AL$5,"kötelező",'2.1. sz. PMH'!$D$3:$AL$3,"Eredeti előirányzat")+SUMIFS('2.2. sz. Hétszínvirág Óvoda'!D35:Z35,'2.2. sz. Hétszínvirág Óvoda'!$D$5:$Z$5,"kötelező",'2.2. sz. Hétszínvirág Óvoda'!$D$3:$Z$3,"Eredeti előirányzat")+SUMIFS('2.3. sz. Mese Óvoda'!D35:T35,'2.3. sz. Mese Óvoda'!$D$5:$T$5,"kötelező",'2.3. sz. Mese Óvoda'!$D$3:$T$3,"Eredeti előirányzat")+SUMIFS('2.4. sz. Bölcsőde'!D35:Q35,'2.4. sz. Bölcsőde'!$D$5:$Q$5,"kötelező",'2.4. sz. Bölcsőde'!$D$3:$Q$3,"Eredeti előirányzat")+SUMIFS('2.5. sz. Gyermekjóléti'!D35:W35,'2.5. sz. Gyermekjóléti'!$D$5:$W$5,"kötelező",'2.5. sz. Gyermekjóléti'!$D$3:$W$3,"Eredeti előirányzat")+SUMIFS('2.6 sz. Területi'!D35:BG35,'2.6 sz. Területi'!$D$5:$BG$5,"kötelező",'2.6 sz. Területi'!$D$3:$BG$3,"Eredeti előirányzat")+SUMIFS('2.7. sz. Könyvtár'!D35:Z35,'2.7. sz. Könyvtár'!$D$5:$Z$5,"kötelező",'2.7. sz. Könyvtár'!$D$3:$Z$3,"Eredeti előirányzat")+SUMIFS('2.8. sz. Műv.Ház'!D35:Z35,'2.8. sz. Műv.Ház'!$D$5:$Z$5,"kötelező",'2.8. sz. Műv.Ház'!$D$3:$Z$3,"Eredeti előirányzat")+SUMIFS('2.9. sz. Szivárvány Ó.'!D35:W35,'2.9. sz. Szivárvány Ó.'!$D$5:$W$5,"kötelező",'2.9. sz. Szivárvány Ó.'!$D$3:$W$3,"Eredeti előirányzat")</f>
        <v>0</v>
      </c>
      <c r="E35" s="6">
        <f>+'2.1. sz. PMH'!E35+'2.1. sz. PMH'!H35+'2.1. sz. PMH'!W35+'2.1. sz. PMH'!AL35+'2.2. sz. Hétszínvirág Óvoda'!E35+'2.2. sz. Hétszínvirág Óvoda'!H35+'2.2. sz. Hétszínvirág Óvoda'!K35+'2.2. sz. Hétszínvirág Óvoda'!N35+'2.2. sz. Hétszínvirág Óvoda'!Q35+'2.2. sz. Hétszínvirág Óvoda'!T35+'2.2. sz. Hétszínvirág Óvoda'!W35+'2.2. sz. Hétszínvirág Óvoda'!Z35+'2.3. sz. Mese Óvoda'!E35+'2.3. sz. Mese Óvoda'!H35+'2.3. sz. Mese Óvoda'!K35+'2.3. sz. Mese Óvoda'!N35+'2.3. sz. Mese Óvoda'!Q35+'2.3. sz. Mese Óvoda'!T35+'2.4. sz. Bölcsőde'!E35+'2.4. sz. Bölcsőde'!H35+'2.4. sz. Bölcsőde'!K35+'2.4. sz. Bölcsőde'!N35+'2.4. sz. Bölcsőde'!Q35+'2.5. sz. Gyermekjóléti'!E35+'2.5. sz. Gyermekjóléti'!H35+'2.5. sz. Gyermekjóléti'!K35+'2.5. sz. Gyermekjóléti'!N35+'2.5. sz. Gyermekjóléti'!Q35+'2.5. sz. Gyermekjóléti'!T35+'2.5. sz. Gyermekjóléti'!W35+'2.6 sz. Területi'!E35+'2.6 sz. Területi'!H35+'2.6 sz. Területi'!K35+'2.6 sz. Területi'!T35+'2.6 sz. Területi'!W35+'2.6 sz. Területi'!AI35+'2.6 sz. Területi'!AL35+'2.6 sz. Területi'!AO35+'2.6 sz. Területi'!AR35+'2.6 sz. Területi'!AU35+'2.6 sz. Területi'!AX35+'2.6 sz. Területi'!BA35+'2.6 sz. Területi'!BD35+'2.6 sz. Területi'!BG35+'2.7. sz. Könyvtár'!E35+'2.7. sz. Könyvtár'!H35+'2.7. sz. Könyvtár'!K35+'2.7. sz. Könyvtár'!N35+'2.7. sz. Könyvtár'!Q35+'2.7. sz. Könyvtár'!T35+'2.7. sz. Könyvtár'!W35+'2.7. sz. Könyvtár'!Z35+'2.8. sz. Műv.Ház'!E35+'2.8. sz. Műv.Ház'!H35+'2.8. sz. Műv.Ház'!K35+'2.8. sz. Műv.Ház'!Q35+'2.8. sz. Műv.Ház'!T35+'2.8. sz. Műv.Ház'!W35+'2.8. sz. Műv.Ház'!Z35+'2.9. sz. Szivárvány Ó.'!E35+'2.9. sz. Szivárvány Ó.'!H35+'2.9. sz. Szivárvány Ó.'!K35+'2.9. sz. Szivárvány Ó.'!N35+'2.9. sz. Szivárvány Ó.'!Q35+'2.9. sz. Szivárvány Ó.'!T35+'2.9. sz. Szivárvány Ó.'!W35</f>
        <v>115000</v>
      </c>
      <c r="F35" s="6">
        <f>+'2.1. sz. PMH'!AQ35+'2.2. sz. Hétszínvirág Óvoda'!AD35+'2.3. sz. Mese Óvoda'!X35+'2.4. sz. Bölcsőde'!U35+'2.5. sz. Gyermekjóléti'!AA35+'2.6 sz. Területi'!BL35+'2.7. sz. Könyvtár'!AD35+'2.8. sz. Műv.Ház'!AE35+'2.9. sz. Szivárvány Ó.'!AA35</f>
        <v>115000</v>
      </c>
      <c r="G35" s="6">
        <f>SUMIFS('2.1. sz. PMH'!D35:AL35,'2.1. sz. PMH'!$D$5:$AL$5,"önként vállalt",'2.1. sz. PMH'!$D$3:$AL$3,"Eredeti előirányzat")+SUMIFS('2.2. sz. Hétszínvirág Óvoda'!D35:Z35,'2.2. sz. Hétszínvirág Óvoda'!$D$5:$Z$5,"önként vállalt",'2.2. sz. Hétszínvirág Óvoda'!$D$3:$Z$3,"Eredeti előirányzat")+SUMIFS('2.3. sz. Mese Óvoda'!D35:T35,'2.3. sz. Mese Óvoda'!$D$5:$T$5,"önként vállalt",'2.3. sz. Mese Óvoda'!$D$3:$T$3,"Eredeti előirányzat")+SUMIFS('2.4. sz. Bölcsőde'!D35:Q35,'2.4. sz. Bölcsőde'!$D$5:$Q$5,"önként vállalt",'2.4. sz. Bölcsőde'!$D$3:$Q$3,"Eredeti előirányzat")+SUMIFS('2.5. sz. Gyermekjóléti'!D35:W35,'2.5. sz. Gyermekjóléti'!$D$5:$W$5,"önként vállalt",'2.5. sz. Gyermekjóléti'!$D$3:$W$3,"Eredeti előirányzat")+SUMIFS('2.6 sz. Területi'!D35:BG35,'2.6 sz. Területi'!$D$5:$BG$5,"önként vállalt",'2.6 sz. Területi'!$D$3:$BG$3,"Eredeti előirányzat")+SUMIFS('2.7. sz. Könyvtár'!D35:Z35,'2.7. sz. Könyvtár'!$D$5:$Z$5,"önként vállalt",'2.7. sz. Könyvtár'!$D$3:$Z$3,"Eredeti előirányzat")+SUMIFS('2.8. sz. Műv.Ház'!D35:Z35,'2.8. sz. Műv.Ház'!$D$5:$Z$5,"önként vállalt",'2.8. sz. Műv.Ház'!$D$3:$Z$3,"Eredeti előirányzat")+SUMIFS('2.9. sz. Szivárvány Ó.'!D35:W35,'2.9. sz. Szivárvány Ó.'!$D$5:$W$5,"önként vállalt",'2.9. sz. Szivárvány Ó.'!$D$3:$W$3,"Eredeti előirányzat")</f>
        <v>0</v>
      </c>
      <c r="H35" s="6">
        <f>+'2.6 sz. Területi'!N35+'2.6 sz. Területi'!Q35+'2.6 sz. Területi'!Z35+'2.6 sz. Területi'!AC35+'2.6 sz. Területi'!AF35+'2.8. sz. Műv.Ház'!N35</f>
        <v>0</v>
      </c>
      <c r="I35" s="6">
        <f>+'2.6 sz. Területi'!BM35+'2.8. sz. Műv.Ház'!AF35</f>
        <v>0</v>
      </c>
      <c r="J35" s="6">
        <f>SUMIFS('2.1. sz. PMH'!D35:AL35,'2.1. sz. PMH'!$D$5:$AL$5,"államigazgatási",'2.1. sz. PMH'!$D$3:$AL$3,"Eredeti előirányzat")+SUMIFS('2.2. sz. Hétszínvirág Óvoda'!D35:Z35,'2.2. sz. Hétszínvirág Óvoda'!$D$5:$Z$5,"államigazgatási",'2.2. sz. Hétszínvirág Óvoda'!$D$3:$Z$3,"Eredeti előirányzat")+SUMIFS('2.3. sz. Mese Óvoda'!D35:T35,'2.3. sz. Mese Óvoda'!$D$5:$T$5,"államigazgatási",'2.3. sz. Mese Óvoda'!$D$3:$T$3,"Eredeti előirányzat")+SUMIFS('2.4. sz. Bölcsőde'!D35:Q35,'2.4. sz. Bölcsőde'!$D$5:$Q$5,"államigazgatási",'2.4. sz. Bölcsőde'!$D$3:$Q$3,"Eredeti előirányzat")+SUMIFS('2.5. sz. Gyermekjóléti'!D35:W35,'2.5. sz. Gyermekjóléti'!$D$5:$W$5,"államigazgatási",'2.5. sz. Gyermekjóléti'!$D$3:$W$3,"Eredeti előirányzat")+SUMIFS('2.6 sz. Területi'!D35:BG35,'2.6 sz. Területi'!$D$5:$BG$5,"államigazgatási",'2.6 sz. Területi'!$D$3:$BG$3,"Eredeti előirányzat")+SUMIFS('2.7. sz. Könyvtár'!D35:Z35,'2.7. sz. Könyvtár'!$D$5:$Z$5,"államigazgatási",'2.7. sz. Könyvtár'!$D$3:$Z$3,"Eredeti előirányzat")+SUMIFS('2.8. sz. Műv.Ház'!D35:Z35,'2.8. sz. Műv.Ház'!$D$5:$Z$5,"államigazgatási",'2.8. sz. Műv.Ház'!$D$3:$Z$3,"Eredeti előirányzat")+SUMIFS('2.9. sz. Szivárvány Ó.'!D35:W35,'2.9. sz. Szivárvány Ó.'!$D$5:$W$5,"államigazgatási",'2.9. sz. Szivárvány Ó.'!$D$3:$W$3,"Eredeti előirányzat")</f>
        <v>0</v>
      </c>
      <c r="K35" s="6">
        <f>+'2.1. sz. PMH'!K35+'2.1. sz. PMH'!N35+'2.1. sz. PMH'!Q35+'2.1. sz. PMH'!T35+'2.1. sz. PMH'!Z35+'2.1. sz. PMH'!AC35+'2.1. sz. PMH'!AF35+'2.1. sz. PMH'!AI35</f>
        <v>0</v>
      </c>
      <c r="L35" s="6">
        <f>+'2.1. sz. PMH'!AS35</f>
        <v>0</v>
      </c>
      <c r="M35" s="6">
        <f t="shared" si="0"/>
        <v>0</v>
      </c>
      <c r="N35" s="569">
        <f t="shared" si="1"/>
        <v>115000</v>
      </c>
      <c r="O35" s="569">
        <f t="shared" si="2"/>
        <v>115000</v>
      </c>
      <c r="Q35" s="19">
        <f>+'2.1. sz. PMH'!AP35+'2.2. sz. Hétszínvirág Óvoda'!AD35+'2.3. sz. Mese Óvoda'!X35+'2.4. sz. Bölcsőde'!U35+'2.5. sz. Gyermekjóléti'!AA35+'2.6 sz. Területi'!BK35+'2.7. sz. Könyvtár'!AD35+'2.8. sz. Műv.Ház'!AD35+'2.9. sz. Szivárvány Ó.'!AA35</f>
        <v>115000</v>
      </c>
      <c r="R35" s="80">
        <f t="shared" si="3"/>
        <v>0</v>
      </c>
    </row>
    <row r="36" spans="1:18" ht="23.25" customHeight="1" x14ac:dyDescent="0.25">
      <c r="A36" s="25" t="s">
        <v>268</v>
      </c>
      <c r="B36" s="27" t="s">
        <v>240</v>
      </c>
      <c r="C36" s="31" t="s">
        <v>217</v>
      </c>
      <c r="D36" s="6">
        <f>SUMIFS('2.1. sz. PMH'!D36:AL36,'2.1. sz. PMH'!$D$5:$AL$5,"kötelező",'2.1. sz. PMH'!$D$3:$AL$3,"Eredeti előirányzat")+SUMIFS('2.2. sz. Hétszínvirág Óvoda'!D36:Z36,'2.2. sz. Hétszínvirág Óvoda'!$D$5:$Z$5,"kötelező",'2.2. sz. Hétszínvirág Óvoda'!$D$3:$Z$3,"Eredeti előirányzat")+SUMIFS('2.3. sz. Mese Óvoda'!D36:T36,'2.3. sz. Mese Óvoda'!$D$5:$T$5,"kötelező",'2.3. sz. Mese Óvoda'!$D$3:$T$3,"Eredeti előirányzat")+SUMIFS('2.4. sz. Bölcsőde'!D36:Q36,'2.4. sz. Bölcsőde'!$D$5:$Q$5,"kötelező",'2.4. sz. Bölcsőde'!$D$3:$Q$3,"Eredeti előirányzat")+SUMIFS('2.5. sz. Gyermekjóléti'!D36:W36,'2.5. sz. Gyermekjóléti'!$D$5:$W$5,"kötelező",'2.5. sz. Gyermekjóléti'!$D$3:$W$3,"Eredeti előirányzat")+SUMIFS('2.6 sz. Területi'!D36:BG36,'2.6 sz. Területi'!$D$5:$BG$5,"kötelező",'2.6 sz. Területi'!$D$3:$BG$3,"Eredeti előirányzat")+SUMIFS('2.7. sz. Könyvtár'!D36:Z36,'2.7. sz. Könyvtár'!$D$5:$Z$5,"kötelező",'2.7. sz. Könyvtár'!$D$3:$Z$3,"Eredeti előirányzat")+SUMIFS('2.8. sz. Műv.Ház'!D36:Z36,'2.8. sz. Műv.Ház'!$D$5:$Z$5,"kötelező",'2.8. sz. Műv.Ház'!$D$3:$Z$3,"Eredeti előirányzat")+SUMIFS('2.9. sz. Szivárvány Ó.'!D36:W36,'2.9. sz. Szivárvány Ó.'!$D$5:$W$5,"kötelező",'2.9. sz. Szivárvány Ó.'!$D$3:$W$3,"Eredeti előirányzat")</f>
        <v>0</v>
      </c>
      <c r="E36" s="6">
        <f>+'2.1. sz. PMH'!E36+'2.1. sz. PMH'!H36+'2.1. sz. PMH'!W36+'2.1. sz. PMH'!AL36+'2.2. sz. Hétszínvirág Óvoda'!E36+'2.2. sz. Hétszínvirág Óvoda'!H36+'2.2. sz. Hétszínvirág Óvoda'!K36+'2.2. sz. Hétszínvirág Óvoda'!N36+'2.2. sz. Hétszínvirág Óvoda'!Q36+'2.2. sz. Hétszínvirág Óvoda'!T36+'2.2. sz. Hétszínvirág Óvoda'!W36+'2.2. sz. Hétszínvirág Óvoda'!Z36+'2.3. sz. Mese Óvoda'!E36+'2.3. sz. Mese Óvoda'!H36+'2.3. sz. Mese Óvoda'!K36+'2.3. sz. Mese Óvoda'!N36+'2.3. sz. Mese Óvoda'!Q36+'2.3. sz. Mese Óvoda'!T36+'2.4. sz. Bölcsőde'!E36+'2.4. sz. Bölcsőde'!H36+'2.4. sz. Bölcsőde'!K36+'2.4. sz. Bölcsőde'!N36+'2.4. sz. Bölcsőde'!Q36+'2.5. sz. Gyermekjóléti'!E36+'2.5. sz. Gyermekjóléti'!H36+'2.5. sz. Gyermekjóléti'!K36+'2.5. sz. Gyermekjóléti'!N36+'2.5. sz. Gyermekjóléti'!Q36+'2.5. sz. Gyermekjóléti'!T36+'2.5. sz. Gyermekjóléti'!W36+'2.6 sz. Területi'!E36+'2.6 sz. Területi'!H36+'2.6 sz. Területi'!K36+'2.6 sz. Területi'!T36+'2.6 sz. Területi'!W36+'2.6 sz. Területi'!AI36+'2.6 sz. Területi'!AL36+'2.6 sz. Területi'!AO36+'2.6 sz. Területi'!AR36+'2.6 sz. Területi'!AU36+'2.6 sz. Területi'!AX36+'2.6 sz. Területi'!BA36+'2.6 sz. Területi'!BD36+'2.6 sz. Területi'!BG36+'2.7. sz. Könyvtár'!E36+'2.7. sz. Könyvtár'!H36+'2.7. sz. Könyvtár'!K36+'2.7. sz. Könyvtár'!N36+'2.7. sz. Könyvtár'!Q36+'2.7. sz. Könyvtár'!T36+'2.7. sz. Könyvtár'!W36+'2.7. sz. Könyvtár'!Z36+'2.8. sz. Műv.Ház'!E36+'2.8. sz. Műv.Ház'!H36+'2.8. sz. Műv.Ház'!K36+'2.8. sz. Műv.Ház'!Q36+'2.8. sz. Műv.Ház'!T36+'2.8. sz. Műv.Ház'!W36+'2.8. sz. Műv.Ház'!Z36+'2.9. sz. Szivárvány Ó.'!E36+'2.9. sz. Szivárvány Ó.'!H36+'2.9. sz. Szivárvány Ó.'!K36+'2.9. sz. Szivárvány Ó.'!N36+'2.9. sz. Szivárvány Ó.'!Q36+'2.9. sz. Szivárvány Ó.'!T36+'2.9. sz. Szivárvány Ó.'!W36</f>
        <v>295000</v>
      </c>
      <c r="F36" s="6">
        <f>+'2.1. sz. PMH'!AQ36+'2.2. sz. Hétszínvirág Óvoda'!AD36+'2.3. sz. Mese Óvoda'!X36+'2.4. sz. Bölcsőde'!U36+'2.5. sz. Gyermekjóléti'!AA36+'2.6 sz. Területi'!BL36+'2.7. sz. Könyvtár'!AD36+'2.8. sz. Műv.Ház'!AE36+'2.9. sz. Szivárvány Ó.'!AA36</f>
        <v>295000</v>
      </c>
      <c r="G36" s="6">
        <f>SUMIFS('2.1. sz. PMH'!D36:AL36,'2.1. sz. PMH'!$D$5:$AL$5,"önként vállalt",'2.1. sz. PMH'!$D$3:$AL$3,"Eredeti előirányzat")+SUMIFS('2.2. sz. Hétszínvirág Óvoda'!D36:Z36,'2.2. sz. Hétszínvirág Óvoda'!$D$5:$Z$5,"önként vállalt",'2.2. sz. Hétszínvirág Óvoda'!$D$3:$Z$3,"Eredeti előirányzat")+SUMIFS('2.3. sz. Mese Óvoda'!D36:T36,'2.3. sz. Mese Óvoda'!$D$5:$T$5,"önként vállalt",'2.3. sz. Mese Óvoda'!$D$3:$T$3,"Eredeti előirányzat")+SUMIFS('2.4. sz. Bölcsőde'!D36:Q36,'2.4. sz. Bölcsőde'!$D$5:$Q$5,"önként vállalt",'2.4. sz. Bölcsőde'!$D$3:$Q$3,"Eredeti előirányzat")+SUMIFS('2.5. sz. Gyermekjóléti'!D36:W36,'2.5. sz. Gyermekjóléti'!$D$5:$W$5,"önként vállalt",'2.5. sz. Gyermekjóléti'!$D$3:$W$3,"Eredeti előirányzat")+SUMIFS('2.6 sz. Területi'!D36:BG36,'2.6 sz. Területi'!$D$5:$BG$5,"önként vállalt",'2.6 sz. Területi'!$D$3:$BG$3,"Eredeti előirányzat")+SUMIFS('2.7. sz. Könyvtár'!D36:Z36,'2.7. sz. Könyvtár'!$D$5:$Z$5,"önként vállalt",'2.7. sz. Könyvtár'!$D$3:$Z$3,"Eredeti előirányzat")+SUMIFS('2.8. sz. Műv.Ház'!D36:Z36,'2.8. sz. Műv.Ház'!$D$5:$Z$5,"önként vállalt",'2.8. sz. Műv.Ház'!$D$3:$Z$3,"Eredeti előirányzat")+SUMIFS('2.9. sz. Szivárvány Ó.'!D36:W36,'2.9. sz. Szivárvány Ó.'!$D$5:$W$5,"önként vállalt",'2.9. sz. Szivárvány Ó.'!$D$3:$W$3,"Eredeti előirányzat")</f>
        <v>0</v>
      </c>
      <c r="H36" s="6">
        <f>+'2.6 sz. Területi'!N36+'2.6 sz. Területi'!Q36+'2.6 sz. Területi'!Z36+'2.6 sz. Területi'!AC36+'2.6 sz. Területi'!AF36+'2.8. sz. Műv.Ház'!N36</f>
        <v>0</v>
      </c>
      <c r="I36" s="6">
        <f>+'2.6 sz. Területi'!BM36+'2.8. sz. Műv.Ház'!AF36</f>
        <v>0</v>
      </c>
      <c r="J36" s="6">
        <f>SUMIFS('2.1. sz. PMH'!D36:AL36,'2.1. sz. PMH'!$D$5:$AL$5,"államigazgatási",'2.1. sz. PMH'!$D$3:$AL$3,"Eredeti előirányzat")+SUMIFS('2.2. sz. Hétszínvirág Óvoda'!D36:Z36,'2.2. sz. Hétszínvirág Óvoda'!$D$5:$Z$5,"államigazgatási",'2.2. sz. Hétszínvirág Óvoda'!$D$3:$Z$3,"Eredeti előirányzat")+SUMIFS('2.3. sz. Mese Óvoda'!D36:T36,'2.3. sz. Mese Óvoda'!$D$5:$T$5,"államigazgatási",'2.3. sz. Mese Óvoda'!$D$3:$T$3,"Eredeti előirányzat")+SUMIFS('2.4. sz. Bölcsőde'!D36:Q36,'2.4. sz. Bölcsőde'!$D$5:$Q$5,"államigazgatási",'2.4. sz. Bölcsőde'!$D$3:$Q$3,"Eredeti előirányzat")+SUMIFS('2.5. sz. Gyermekjóléti'!D36:W36,'2.5. sz. Gyermekjóléti'!$D$5:$W$5,"államigazgatási",'2.5. sz. Gyermekjóléti'!$D$3:$W$3,"Eredeti előirányzat")+SUMIFS('2.6 sz. Területi'!D36:BG36,'2.6 sz. Területi'!$D$5:$BG$5,"államigazgatási",'2.6 sz. Területi'!$D$3:$BG$3,"Eredeti előirányzat")+SUMIFS('2.7. sz. Könyvtár'!D36:Z36,'2.7. sz. Könyvtár'!$D$5:$Z$5,"államigazgatási",'2.7. sz. Könyvtár'!$D$3:$Z$3,"Eredeti előirányzat")+SUMIFS('2.8. sz. Műv.Ház'!D36:Z36,'2.8. sz. Műv.Ház'!$D$5:$Z$5,"államigazgatási",'2.8. sz. Műv.Ház'!$D$3:$Z$3,"Eredeti előirányzat")+SUMIFS('2.9. sz. Szivárvány Ó.'!D36:W36,'2.9. sz. Szivárvány Ó.'!$D$5:$W$5,"államigazgatási",'2.9. sz. Szivárvány Ó.'!$D$3:$W$3,"Eredeti előirányzat")</f>
        <v>0</v>
      </c>
      <c r="K36" s="6">
        <f>+'2.1. sz. PMH'!K36+'2.1. sz. PMH'!N36+'2.1. sz. PMH'!Q36+'2.1. sz. PMH'!T36+'2.1. sz. PMH'!Z36+'2.1. sz. PMH'!AC36+'2.1. sz. PMH'!AF36+'2.1. sz. PMH'!AI36</f>
        <v>0</v>
      </c>
      <c r="L36" s="6">
        <f>+'2.1. sz. PMH'!AS36</f>
        <v>0</v>
      </c>
      <c r="M36" s="6">
        <f t="shared" si="0"/>
        <v>0</v>
      </c>
      <c r="N36" s="569">
        <f t="shared" si="1"/>
        <v>295000</v>
      </c>
      <c r="O36" s="569">
        <f t="shared" si="2"/>
        <v>295000</v>
      </c>
      <c r="Q36" s="19">
        <f>+'2.1. sz. PMH'!AP36+'2.2. sz. Hétszínvirág Óvoda'!AD36+'2.3. sz. Mese Óvoda'!X36+'2.4. sz. Bölcsőde'!U36+'2.5. sz. Gyermekjóléti'!AA36+'2.6 sz. Területi'!BK36+'2.7. sz. Könyvtár'!AD36+'2.8. sz. Műv.Ház'!AD36+'2.9. sz. Szivárvány Ó.'!AA36</f>
        <v>295000</v>
      </c>
      <c r="R36" s="80">
        <f t="shared" si="3"/>
        <v>0</v>
      </c>
    </row>
    <row r="37" spans="1:18" ht="23.25" customHeight="1" x14ac:dyDescent="0.25">
      <c r="A37" s="25" t="s">
        <v>269</v>
      </c>
      <c r="B37" s="27" t="s">
        <v>241</v>
      </c>
      <c r="C37" s="31" t="s">
        <v>218</v>
      </c>
      <c r="D37" s="6">
        <f>SUMIFS('2.1. sz. PMH'!D37:AL37,'2.1. sz. PMH'!$D$5:$AL$5,"kötelező",'2.1. sz. PMH'!$D$3:$AL$3,"Eredeti előirányzat")+SUMIFS('2.2. sz. Hétszínvirág Óvoda'!D37:Z37,'2.2. sz. Hétszínvirág Óvoda'!$D$5:$Z$5,"kötelező",'2.2. sz. Hétszínvirág Óvoda'!$D$3:$Z$3,"Eredeti előirányzat")+SUMIFS('2.3. sz. Mese Óvoda'!D37:T37,'2.3. sz. Mese Óvoda'!$D$5:$T$5,"kötelező",'2.3. sz. Mese Óvoda'!$D$3:$T$3,"Eredeti előirányzat")+SUMIFS('2.4. sz. Bölcsőde'!D37:Q37,'2.4. sz. Bölcsőde'!$D$5:$Q$5,"kötelező",'2.4. sz. Bölcsőde'!$D$3:$Q$3,"Eredeti előirányzat")+SUMIFS('2.5. sz. Gyermekjóléti'!D37:W37,'2.5. sz. Gyermekjóléti'!$D$5:$W$5,"kötelező",'2.5. sz. Gyermekjóléti'!$D$3:$W$3,"Eredeti előirányzat")+SUMIFS('2.6 sz. Területi'!D37:BG37,'2.6 sz. Területi'!$D$5:$BG$5,"kötelező",'2.6 sz. Területi'!$D$3:$BG$3,"Eredeti előirányzat")+SUMIFS('2.7. sz. Könyvtár'!D37:Z37,'2.7. sz. Könyvtár'!$D$5:$Z$5,"kötelező",'2.7. sz. Könyvtár'!$D$3:$Z$3,"Eredeti előirányzat")+SUMIFS('2.8. sz. Műv.Ház'!D37:Z37,'2.8. sz. Műv.Ház'!$D$5:$Z$5,"kötelező",'2.8. sz. Műv.Ház'!$D$3:$Z$3,"Eredeti előirányzat")+SUMIFS('2.9. sz. Szivárvány Ó.'!D37:W37,'2.9. sz. Szivárvány Ó.'!$D$5:$W$5,"kötelező",'2.9. sz. Szivárvány Ó.'!$D$3:$W$3,"Eredeti előirányzat")</f>
        <v>5088400</v>
      </c>
      <c r="E37" s="6">
        <f>+'2.1. sz. PMH'!E37+'2.1. sz. PMH'!H37+'2.1. sz. PMH'!W37+'2.1. sz. PMH'!AL37+'2.2. sz. Hétszínvirág Óvoda'!E37+'2.2. sz. Hétszínvirág Óvoda'!H37+'2.2. sz. Hétszínvirág Óvoda'!K37+'2.2. sz. Hétszínvirág Óvoda'!N37+'2.2. sz. Hétszínvirág Óvoda'!Q37+'2.2. sz. Hétszínvirág Óvoda'!T37+'2.2. sz. Hétszínvirág Óvoda'!W37+'2.2. sz. Hétszínvirág Óvoda'!Z37+'2.3. sz. Mese Óvoda'!E37+'2.3. sz. Mese Óvoda'!H37+'2.3. sz. Mese Óvoda'!K37+'2.3. sz. Mese Óvoda'!N37+'2.3. sz. Mese Óvoda'!Q37+'2.3. sz. Mese Óvoda'!T37+'2.4. sz. Bölcsőde'!E37+'2.4. sz. Bölcsőde'!H37+'2.4. sz. Bölcsőde'!K37+'2.4. sz. Bölcsőde'!N37+'2.4. sz. Bölcsőde'!Q37+'2.5. sz. Gyermekjóléti'!E37+'2.5. sz. Gyermekjóléti'!H37+'2.5. sz. Gyermekjóléti'!K37+'2.5. sz. Gyermekjóléti'!N37+'2.5. sz. Gyermekjóléti'!Q37+'2.5. sz. Gyermekjóléti'!T37+'2.5. sz. Gyermekjóléti'!W37+'2.6 sz. Területi'!E37+'2.6 sz. Területi'!H37+'2.6 sz. Területi'!K37+'2.6 sz. Területi'!T37+'2.6 sz. Területi'!W37+'2.6 sz. Területi'!AI37+'2.6 sz. Területi'!AL37+'2.6 sz. Területi'!AO37+'2.6 sz. Területi'!AR37+'2.6 sz. Területi'!AU37+'2.6 sz. Területi'!AX37+'2.6 sz. Területi'!BA37+'2.6 sz. Területi'!BD37+'2.6 sz. Területi'!BG37+'2.7. sz. Könyvtár'!E37+'2.7. sz. Könyvtár'!H37+'2.7. sz. Könyvtár'!K37+'2.7. sz. Könyvtár'!N37+'2.7. sz. Könyvtár'!Q37+'2.7. sz. Könyvtár'!T37+'2.7. sz. Könyvtár'!W37+'2.7. sz. Könyvtár'!Z37+'2.8. sz. Műv.Ház'!E37+'2.8. sz. Műv.Ház'!H37+'2.8. sz. Műv.Ház'!K37+'2.8. sz. Műv.Ház'!Q37+'2.8. sz. Műv.Ház'!T37+'2.8. sz. Műv.Ház'!W37+'2.8. sz. Műv.Ház'!Z37+'2.9. sz. Szivárvány Ó.'!E37+'2.9. sz. Szivárvány Ó.'!H37+'2.9. sz. Szivárvány Ó.'!K37+'2.9. sz. Szivárvány Ó.'!N37+'2.9. sz. Szivárvány Ó.'!Q37+'2.9. sz. Szivárvány Ó.'!T37+'2.9. sz. Szivárvány Ó.'!W37</f>
        <v>7052000</v>
      </c>
      <c r="F37" s="6">
        <f>+'2.1. sz. PMH'!AQ37+'2.2. sz. Hétszínvirág Óvoda'!AD37+'2.3. sz. Mese Óvoda'!X37+'2.4. sz. Bölcsőde'!U37+'2.5. sz. Gyermekjóléti'!AA37+'2.6 sz. Területi'!BL37+'2.7. sz. Könyvtár'!AD37+'2.8. sz. Műv.Ház'!AE37+'2.9. sz. Szivárvány Ó.'!AA37</f>
        <v>6918700</v>
      </c>
      <c r="G37" s="6">
        <f>SUMIFS('2.1. sz. PMH'!D37:AL37,'2.1. sz. PMH'!$D$5:$AL$5,"önként vállalt",'2.1. sz. PMH'!$D$3:$AL$3,"Eredeti előirányzat")+SUMIFS('2.2. sz. Hétszínvirág Óvoda'!D37:Z37,'2.2. sz. Hétszínvirág Óvoda'!$D$5:$Z$5,"önként vállalt",'2.2. sz. Hétszínvirág Óvoda'!$D$3:$Z$3,"Eredeti előirányzat")+SUMIFS('2.3. sz. Mese Óvoda'!D37:T37,'2.3. sz. Mese Óvoda'!$D$5:$T$5,"önként vállalt",'2.3. sz. Mese Óvoda'!$D$3:$T$3,"Eredeti előirányzat")+SUMIFS('2.4. sz. Bölcsőde'!D37:Q37,'2.4. sz. Bölcsőde'!$D$5:$Q$5,"önként vállalt",'2.4. sz. Bölcsőde'!$D$3:$Q$3,"Eredeti előirányzat")+SUMIFS('2.5. sz. Gyermekjóléti'!D37:W37,'2.5. sz. Gyermekjóléti'!$D$5:$W$5,"önként vállalt",'2.5. sz. Gyermekjóléti'!$D$3:$W$3,"Eredeti előirányzat")+SUMIFS('2.6 sz. Területi'!D37:BG37,'2.6 sz. Területi'!$D$5:$BG$5,"önként vállalt",'2.6 sz. Területi'!$D$3:$BG$3,"Eredeti előirányzat")+SUMIFS('2.7. sz. Könyvtár'!D37:Z37,'2.7. sz. Könyvtár'!$D$5:$Z$5,"önként vállalt",'2.7. sz. Könyvtár'!$D$3:$Z$3,"Eredeti előirányzat")+SUMIFS('2.8. sz. Műv.Ház'!D37:Z37,'2.8. sz. Műv.Ház'!$D$5:$Z$5,"önként vállalt",'2.8. sz. Műv.Ház'!$D$3:$Z$3,"Eredeti előirányzat")+SUMIFS('2.9. sz. Szivárvány Ó.'!D37:W37,'2.9. sz. Szivárvány Ó.'!$D$5:$W$5,"önként vállalt",'2.9. sz. Szivárvány Ó.'!$D$3:$W$3,"Eredeti előirányzat")</f>
        <v>0</v>
      </c>
      <c r="H37" s="6">
        <f>+'2.6 sz. Területi'!N37+'2.6 sz. Területi'!Q37+'2.6 sz. Területi'!Z37+'2.6 sz. Területi'!AC37+'2.6 sz. Területi'!AF37+'2.8. sz. Műv.Ház'!N37</f>
        <v>0</v>
      </c>
      <c r="I37" s="6">
        <f>+'2.6 sz. Területi'!BM37+'2.8. sz. Műv.Ház'!AF37</f>
        <v>0</v>
      </c>
      <c r="J37" s="6">
        <f>SUMIFS('2.1. sz. PMH'!D37:AL37,'2.1. sz. PMH'!$D$5:$AL$5,"államigazgatási",'2.1. sz. PMH'!$D$3:$AL$3,"Eredeti előirányzat")+SUMIFS('2.2. sz. Hétszínvirág Óvoda'!D37:Z37,'2.2. sz. Hétszínvirág Óvoda'!$D$5:$Z$5,"államigazgatási",'2.2. sz. Hétszínvirág Óvoda'!$D$3:$Z$3,"Eredeti előirányzat")+SUMIFS('2.3. sz. Mese Óvoda'!D37:T37,'2.3. sz. Mese Óvoda'!$D$5:$T$5,"államigazgatási",'2.3. sz. Mese Óvoda'!$D$3:$T$3,"Eredeti előirányzat")+SUMIFS('2.4. sz. Bölcsőde'!D37:Q37,'2.4. sz. Bölcsőde'!$D$5:$Q$5,"államigazgatási",'2.4. sz. Bölcsőde'!$D$3:$Q$3,"Eredeti előirányzat")+SUMIFS('2.5. sz. Gyermekjóléti'!D37:W37,'2.5. sz. Gyermekjóléti'!$D$5:$W$5,"államigazgatási",'2.5. sz. Gyermekjóléti'!$D$3:$W$3,"Eredeti előirányzat")+SUMIFS('2.6 sz. Területi'!D37:BG37,'2.6 sz. Területi'!$D$5:$BG$5,"államigazgatási",'2.6 sz. Területi'!$D$3:$BG$3,"Eredeti előirányzat")+SUMIFS('2.7. sz. Könyvtár'!D37:Z37,'2.7. sz. Könyvtár'!$D$5:$Z$5,"államigazgatási",'2.7. sz. Könyvtár'!$D$3:$Z$3,"Eredeti előirányzat")+SUMIFS('2.8. sz. Műv.Ház'!D37:Z37,'2.8. sz. Műv.Ház'!$D$5:$Z$5,"államigazgatási",'2.8. sz. Műv.Ház'!$D$3:$Z$3,"Eredeti előirányzat")+SUMIFS('2.9. sz. Szivárvány Ó.'!D37:W37,'2.9. sz. Szivárvány Ó.'!$D$5:$W$5,"államigazgatási",'2.9. sz. Szivárvány Ó.'!$D$3:$W$3,"Eredeti előirányzat")</f>
        <v>0</v>
      </c>
      <c r="K37" s="6">
        <f>+'2.1. sz. PMH'!K37+'2.1. sz. PMH'!N37+'2.1. sz. PMH'!Q37+'2.1. sz. PMH'!T37+'2.1. sz. PMH'!Z37+'2.1. sz. PMH'!AC37+'2.1. sz. PMH'!AF37+'2.1. sz. PMH'!AI37</f>
        <v>0</v>
      </c>
      <c r="L37" s="6">
        <f>+'2.1. sz. PMH'!AS37</f>
        <v>0</v>
      </c>
      <c r="M37" s="6">
        <f t="shared" si="0"/>
        <v>5088400</v>
      </c>
      <c r="N37" s="569">
        <f t="shared" si="1"/>
        <v>7052000</v>
      </c>
      <c r="O37" s="569">
        <f t="shared" si="2"/>
        <v>6918700</v>
      </c>
      <c r="Q37" s="19">
        <f>+'2.1. sz. PMH'!AP37+'2.2. sz. Hétszínvirág Óvoda'!AD37+'2.3. sz. Mese Óvoda'!X37+'2.4. sz. Bölcsőde'!U37+'2.5. sz. Gyermekjóléti'!AA37+'2.6 sz. Területi'!BK37+'2.7. sz. Könyvtár'!AD37+'2.8. sz. Műv.Ház'!AD37+'2.9. sz. Szivárvány Ó.'!AA37</f>
        <v>6918700</v>
      </c>
      <c r="R37" s="80">
        <f t="shared" si="3"/>
        <v>0</v>
      </c>
    </row>
    <row r="38" spans="1:18" ht="23.25" customHeight="1" x14ac:dyDescent="0.25">
      <c r="A38" s="25" t="s">
        <v>270</v>
      </c>
      <c r="B38" s="28" t="s">
        <v>242</v>
      </c>
      <c r="C38" s="31" t="s">
        <v>219</v>
      </c>
      <c r="D38" s="7">
        <f>SUMIFS('2.1. sz. PMH'!D38:AL38,'2.1. sz. PMH'!$D$5:$AL$5,"kötelező",'2.1. sz. PMH'!$D$3:$AL$3,"Eredeti előirányzat")+SUMIFS('2.2. sz. Hétszínvirág Óvoda'!D38:Z38,'2.2. sz. Hétszínvirág Óvoda'!$D$5:$Z$5,"kötelező",'2.2. sz. Hétszínvirág Óvoda'!$D$3:$Z$3,"Eredeti előirányzat")+SUMIFS('2.3. sz. Mese Óvoda'!D38:T38,'2.3. sz. Mese Óvoda'!$D$5:$T$5,"kötelező",'2.3. sz. Mese Óvoda'!$D$3:$T$3,"Eredeti előirányzat")+SUMIFS('2.4. sz. Bölcsőde'!D38:Q38,'2.4. sz. Bölcsőde'!$D$5:$Q$5,"kötelező",'2.4. sz. Bölcsőde'!$D$3:$Q$3,"Eredeti előirányzat")+SUMIFS('2.5. sz. Gyermekjóléti'!D38:W38,'2.5. sz. Gyermekjóléti'!$D$5:$W$5,"kötelező",'2.5. sz. Gyermekjóléti'!$D$3:$W$3,"Eredeti előirányzat")+SUMIFS('2.6 sz. Területi'!D38:BG38,'2.6 sz. Területi'!$D$5:$BG$5,"kötelező",'2.6 sz. Területi'!$D$3:$BG$3,"Eredeti előirányzat")+SUMIFS('2.7. sz. Könyvtár'!D38:Z38,'2.7. sz. Könyvtár'!$D$5:$Z$5,"kötelező",'2.7. sz. Könyvtár'!$D$3:$Z$3,"Eredeti előirányzat")+SUMIFS('2.8. sz. Műv.Ház'!D38:Z38,'2.8. sz. Műv.Ház'!$D$5:$Z$5,"kötelező",'2.8. sz. Műv.Ház'!$D$3:$Z$3,"Eredeti előirányzat")+SUMIFS('2.9. sz. Szivárvány Ó.'!D38:W38,'2.9. sz. Szivárvány Ó.'!$D$5:$W$5,"kötelező",'2.9. sz. Szivárvány Ó.'!$D$3:$W$3,"Eredeti előirányzat")</f>
        <v>306320454</v>
      </c>
      <c r="E38" s="7">
        <f>+'2.1. sz. PMH'!E38+'2.1. sz. PMH'!H38+'2.1. sz. PMH'!W38+'2.1. sz. PMH'!AL38+'2.2. sz. Hétszínvirág Óvoda'!E38+'2.2. sz. Hétszínvirág Óvoda'!H38+'2.2. sz. Hétszínvirág Óvoda'!K38+'2.2. sz. Hétszínvirág Óvoda'!N38+'2.2. sz. Hétszínvirág Óvoda'!Q38+'2.2. sz. Hétszínvirág Óvoda'!T38+'2.2. sz. Hétszínvirág Óvoda'!W38+'2.2. sz. Hétszínvirág Óvoda'!Z38+'2.3. sz. Mese Óvoda'!E38+'2.3. sz. Mese Óvoda'!H38+'2.3. sz. Mese Óvoda'!K38+'2.3. sz. Mese Óvoda'!N38+'2.3. sz. Mese Óvoda'!Q38+'2.3. sz. Mese Óvoda'!T38+'2.4. sz. Bölcsőde'!E38+'2.4. sz. Bölcsőde'!H38+'2.4. sz. Bölcsőde'!K38+'2.4. sz. Bölcsőde'!N38+'2.4. sz. Bölcsőde'!Q38+'2.5. sz. Gyermekjóléti'!E38+'2.5. sz. Gyermekjóléti'!H38+'2.5. sz. Gyermekjóléti'!K38+'2.5. sz. Gyermekjóléti'!N38+'2.5. sz. Gyermekjóléti'!Q38+'2.5. sz. Gyermekjóléti'!T38+'2.5. sz. Gyermekjóléti'!W38+'2.6 sz. Területi'!E38+'2.6 sz. Területi'!H38+'2.6 sz. Területi'!K38+'2.6 sz. Területi'!T38+'2.6 sz. Területi'!W38+'2.6 sz. Területi'!AI38+'2.6 sz. Területi'!AL38+'2.6 sz. Területi'!AO38+'2.6 sz. Területi'!AR38+'2.6 sz. Területi'!AU38+'2.6 sz. Területi'!AX38+'2.6 sz. Területi'!BA38+'2.6 sz. Területi'!BD38+'2.6 sz. Területi'!BG38+'2.7. sz. Könyvtár'!E38+'2.7. sz. Könyvtár'!H38+'2.7. sz. Könyvtár'!K38+'2.7. sz. Könyvtár'!N38+'2.7. sz. Könyvtár'!Q38+'2.7. sz. Könyvtár'!T38+'2.7. sz. Könyvtár'!W38+'2.7. sz. Könyvtár'!Z38+'2.8. sz. Műv.Ház'!E38+'2.8. sz. Műv.Ház'!H38+'2.8. sz. Műv.Ház'!K38+'2.8. sz. Műv.Ház'!Q38+'2.8. sz. Műv.Ház'!T38+'2.8. sz. Műv.Ház'!W38+'2.8. sz. Műv.Ház'!Z38+'2.9. sz. Szivárvány Ó.'!E38+'2.9. sz. Szivárvány Ó.'!H38+'2.9. sz. Szivárvány Ó.'!K38+'2.9. sz. Szivárvány Ó.'!N38+'2.9. sz. Szivárvány Ó.'!Q38+'2.9. sz. Szivárvány Ó.'!T38+'2.9. sz. Szivárvány Ó.'!W38</f>
        <v>419241001</v>
      </c>
      <c r="F38" s="7">
        <f>+'2.1. sz. PMH'!AQ38+'2.2. sz. Hétszínvirág Óvoda'!AD38+'2.3. sz. Mese Óvoda'!X38+'2.4. sz. Bölcsőde'!U38+'2.5. sz. Gyermekjóléti'!AA38+'2.6 sz. Területi'!BL38+'2.7. sz. Könyvtár'!AD38+'2.8. sz. Műv.Ház'!AE38+'2.9. sz. Szivárvány Ó.'!AA38</f>
        <v>380392907</v>
      </c>
      <c r="G38" s="7">
        <f>SUMIFS('2.1. sz. PMH'!D38:AL38,'2.1. sz. PMH'!$D$5:$AL$5,"önként vállalt",'2.1. sz. PMH'!$D$3:$AL$3,"Eredeti előirányzat")+SUMIFS('2.2. sz. Hétszínvirág Óvoda'!D38:Z38,'2.2. sz. Hétszínvirág Óvoda'!$D$5:$Z$5,"önként vállalt",'2.2. sz. Hétszínvirág Óvoda'!$D$3:$Z$3,"Eredeti előirányzat")+SUMIFS('2.3. sz. Mese Óvoda'!D38:T38,'2.3. sz. Mese Óvoda'!$D$5:$T$5,"önként vállalt",'2.3. sz. Mese Óvoda'!$D$3:$T$3,"Eredeti előirányzat")+SUMIFS('2.4. sz. Bölcsőde'!D38:Q38,'2.4. sz. Bölcsőde'!$D$5:$Q$5,"önként vállalt",'2.4. sz. Bölcsőde'!$D$3:$Q$3,"Eredeti előirányzat")+SUMIFS('2.5. sz. Gyermekjóléti'!D38:W38,'2.5. sz. Gyermekjóléti'!$D$5:$W$5,"önként vállalt",'2.5. sz. Gyermekjóléti'!$D$3:$W$3,"Eredeti előirányzat")+SUMIFS('2.6 sz. Területi'!D38:BG38,'2.6 sz. Területi'!$D$5:$BG$5,"önként vállalt",'2.6 sz. Területi'!$D$3:$BG$3,"Eredeti előirányzat")+SUMIFS('2.7. sz. Könyvtár'!D38:Z38,'2.7. sz. Könyvtár'!$D$5:$Z$5,"önként vállalt",'2.7. sz. Könyvtár'!$D$3:$Z$3,"Eredeti előirányzat")+SUMIFS('2.8. sz. Műv.Ház'!D38:Z38,'2.8. sz. Műv.Ház'!$D$5:$Z$5,"önként vállalt",'2.8. sz. Műv.Ház'!$D$3:$Z$3,"Eredeti előirányzat")+SUMIFS('2.9. sz. Szivárvány Ó.'!D38:W38,'2.9. sz. Szivárvány Ó.'!$D$5:$W$5,"önként vállalt",'2.9. sz. Szivárvány Ó.'!$D$3:$W$3,"Eredeti előirányzat")</f>
        <v>3800000</v>
      </c>
      <c r="H38" s="7">
        <f>+'2.6 sz. Területi'!N38+'2.6 sz. Területi'!Q38+'2.6 sz. Területi'!Z38+'2.6 sz. Területi'!AC38+'2.6 sz. Területi'!AF38+'2.8. sz. Műv.Ház'!N38</f>
        <v>3945640</v>
      </c>
      <c r="I38" s="7">
        <f>+'2.6 sz. Területi'!BM38+'2.8. sz. Műv.Ház'!AF38</f>
        <v>3945640</v>
      </c>
      <c r="J38" s="7">
        <f>SUMIFS('2.1. sz. PMH'!D38:AL38,'2.1. sz. PMH'!$D$5:$AL$5,"államigazgatási",'2.1. sz. PMH'!$D$3:$AL$3,"Eredeti előirányzat")+SUMIFS('2.2. sz. Hétszínvirág Óvoda'!D38:Z38,'2.2. sz. Hétszínvirág Óvoda'!$D$5:$Z$5,"államigazgatási",'2.2. sz. Hétszínvirág Óvoda'!$D$3:$Z$3,"Eredeti előirányzat")+SUMIFS('2.3. sz. Mese Óvoda'!D38:T38,'2.3. sz. Mese Óvoda'!$D$5:$T$5,"államigazgatási",'2.3. sz. Mese Óvoda'!$D$3:$T$3,"Eredeti előirányzat")+SUMIFS('2.4. sz. Bölcsőde'!D38:Q38,'2.4. sz. Bölcsőde'!$D$5:$Q$5,"államigazgatási",'2.4. sz. Bölcsőde'!$D$3:$Q$3,"Eredeti előirányzat")+SUMIFS('2.5. sz. Gyermekjóléti'!D38:W38,'2.5. sz. Gyermekjóléti'!$D$5:$W$5,"államigazgatási",'2.5. sz. Gyermekjóléti'!$D$3:$W$3,"Eredeti előirányzat")+SUMIFS('2.6 sz. Területi'!D38:BG38,'2.6 sz. Területi'!$D$5:$BG$5,"államigazgatási",'2.6 sz. Területi'!$D$3:$BG$3,"Eredeti előirányzat")+SUMIFS('2.7. sz. Könyvtár'!D38:Z38,'2.7. sz. Könyvtár'!$D$5:$Z$5,"államigazgatási",'2.7. sz. Könyvtár'!$D$3:$Z$3,"Eredeti előirányzat")+SUMIFS('2.8. sz. Műv.Ház'!D38:Z38,'2.8. sz. Műv.Ház'!$D$5:$Z$5,"államigazgatási",'2.8. sz. Műv.Ház'!$D$3:$Z$3,"Eredeti előirányzat")+SUMIFS('2.9. sz. Szivárvány Ó.'!D38:W38,'2.9. sz. Szivárvány Ó.'!$D$5:$W$5,"államigazgatási",'2.9. sz. Szivárvány Ó.'!$D$3:$W$3,"Eredeti előirányzat")</f>
        <v>4000000</v>
      </c>
      <c r="K38" s="7">
        <f>+'2.1. sz. PMH'!K38+'2.1. sz. PMH'!N38+'2.1. sz. PMH'!Q38+'2.1. sz. PMH'!T38+'2.1. sz. PMH'!Z38+'2.1. sz. PMH'!AC38+'2.1. sz. PMH'!AF38+'2.1. sz. PMH'!AI38</f>
        <v>29647804</v>
      </c>
      <c r="L38" s="7">
        <f>+'2.1. sz. PMH'!AS38</f>
        <v>29647804</v>
      </c>
      <c r="M38" s="7">
        <f t="shared" si="0"/>
        <v>314120454</v>
      </c>
      <c r="N38" s="570">
        <f t="shared" si="1"/>
        <v>452834445</v>
      </c>
      <c r="O38" s="570">
        <f t="shared" si="2"/>
        <v>413986351</v>
      </c>
      <c r="Q38" s="19">
        <f>+'2.1. sz. PMH'!AP38+'2.2. sz. Hétszínvirág Óvoda'!AD38+'2.3. sz. Mese Óvoda'!X38+'2.4. sz. Bölcsőde'!U38+'2.5. sz. Gyermekjóléti'!AA38+'2.6 sz. Területi'!BK38+'2.7. sz. Könyvtár'!AD38+'2.8. sz. Műv.Ház'!AD38+'2.9. sz. Szivárvány Ó.'!AA38</f>
        <v>413986351</v>
      </c>
      <c r="R38" s="80">
        <f t="shared" si="3"/>
        <v>0</v>
      </c>
    </row>
    <row r="39" spans="1:18" ht="23.25" customHeight="1" x14ac:dyDescent="0.25">
      <c r="A39" s="25" t="s">
        <v>271</v>
      </c>
      <c r="B39" s="31" t="s">
        <v>243</v>
      </c>
      <c r="C39" s="26" t="s">
        <v>221</v>
      </c>
      <c r="D39" s="6">
        <f>SUMIFS('2.1. sz. PMH'!D39:AL39,'2.1. sz. PMH'!$D$5:$AL$5,"kötelező",'2.1. sz. PMH'!$D$3:$AL$3,"Eredeti előirányzat")+SUMIFS('2.2. sz. Hétszínvirág Óvoda'!D39:Z39,'2.2. sz. Hétszínvirág Óvoda'!$D$5:$Z$5,"kötelező",'2.2. sz. Hétszínvirág Óvoda'!$D$3:$Z$3,"Eredeti előirányzat")+SUMIFS('2.3. sz. Mese Óvoda'!D39:T39,'2.3. sz. Mese Óvoda'!$D$5:$T$5,"kötelező",'2.3. sz. Mese Óvoda'!$D$3:$T$3,"Eredeti előirányzat")+SUMIFS('2.4. sz. Bölcsőde'!D39:Q39,'2.4. sz. Bölcsőde'!$D$5:$Q$5,"kötelező",'2.4. sz. Bölcsőde'!$D$3:$Q$3,"Eredeti előirányzat")+SUMIFS('2.5. sz. Gyermekjóléti'!D39:W39,'2.5. sz. Gyermekjóléti'!$D$5:$W$5,"kötelező",'2.5. sz. Gyermekjóléti'!$D$3:$W$3,"Eredeti előirányzat")+SUMIFS('2.6 sz. Területi'!D39:BG39,'2.6 sz. Területi'!$D$5:$BG$5,"kötelező",'2.6 sz. Területi'!$D$3:$BG$3,"Eredeti előirányzat")+SUMIFS('2.7. sz. Könyvtár'!D39:Z39,'2.7. sz. Könyvtár'!$D$5:$Z$5,"kötelező",'2.7. sz. Könyvtár'!$D$3:$Z$3,"Eredeti előirányzat")+SUMIFS('2.8. sz. Műv.Ház'!D39:Z39,'2.8. sz. Műv.Ház'!$D$5:$Z$5,"kötelező",'2.8. sz. Műv.Ház'!$D$3:$Z$3,"Eredeti előirányzat")+SUMIFS('2.9. sz. Szivárvány Ó.'!D39:W39,'2.9. sz. Szivárvány Ó.'!$D$5:$W$5,"kötelező",'2.9. sz. Szivárvány Ó.'!$D$3:$W$3,"Eredeti előirányzat")</f>
        <v>3602166100</v>
      </c>
      <c r="E39" s="6">
        <f>+'2.1. sz. PMH'!E39+'2.1. sz. PMH'!H39+'2.1. sz. PMH'!W39+'2.1. sz. PMH'!AL39+'2.2. sz. Hétszínvirág Óvoda'!E39+'2.2. sz. Hétszínvirág Óvoda'!H39+'2.2. sz. Hétszínvirág Óvoda'!K39+'2.2. sz. Hétszínvirág Óvoda'!N39+'2.2. sz. Hétszínvirág Óvoda'!Q39+'2.2. sz. Hétszínvirág Óvoda'!T39+'2.2. sz. Hétszínvirág Óvoda'!W39+'2.2. sz. Hétszínvirág Óvoda'!Z39+'2.3. sz. Mese Óvoda'!E39+'2.3. sz. Mese Óvoda'!H39+'2.3. sz. Mese Óvoda'!K39+'2.3. sz. Mese Óvoda'!N39+'2.3. sz. Mese Óvoda'!Q39+'2.3. sz. Mese Óvoda'!T39+'2.4. sz. Bölcsőde'!E39+'2.4. sz. Bölcsőde'!H39+'2.4. sz. Bölcsőde'!K39+'2.4. sz. Bölcsőde'!N39+'2.4. sz. Bölcsőde'!Q39+'2.5. sz. Gyermekjóléti'!E39+'2.5. sz. Gyermekjóléti'!H39+'2.5. sz. Gyermekjóléti'!K39+'2.5. sz. Gyermekjóléti'!N39+'2.5. sz. Gyermekjóléti'!Q39+'2.5. sz. Gyermekjóléti'!T39+'2.5. sz. Gyermekjóléti'!W39+'2.6 sz. Területi'!E39+'2.6 sz. Területi'!H39+'2.6 sz. Területi'!K39+'2.6 sz. Területi'!T39+'2.6 sz. Területi'!W39+'2.6 sz. Területi'!AI39+'2.6 sz. Területi'!AL39+'2.6 sz. Területi'!AO39+'2.6 sz. Területi'!AR39+'2.6 sz. Területi'!AU39+'2.6 sz. Területi'!AX39+'2.6 sz. Területi'!BA39+'2.6 sz. Területi'!BD39+'2.6 sz. Területi'!BG39+'2.7. sz. Könyvtár'!E39+'2.7. sz. Könyvtár'!H39+'2.7. sz. Könyvtár'!K39+'2.7. sz. Könyvtár'!N39+'2.7. sz. Könyvtár'!Q39+'2.7. sz. Könyvtár'!T39+'2.7. sz. Könyvtár'!W39+'2.7. sz. Könyvtár'!Z39+'2.8. sz. Műv.Ház'!E39+'2.8. sz. Műv.Ház'!H39+'2.8. sz. Műv.Ház'!K39+'2.8. sz. Műv.Ház'!Q39+'2.8. sz. Műv.Ház'!T39+'2.8. sz. Műv.Ház'!W39+'2.8. sz. Műv.Ház'!Z39+'2.9. sz. Szivárvány Ó.'!E39+'2.9. sz. Szivárvány Ó.'!H39+'2.9. sz. Szivárvány Ó.'!K39+'2.9. sz. Szivárvány Ó.'!N39+'2.9. sz. Szivárvány Ó.'!Q39+'2.9. sz. Szivárvány Ó.'!T39+'2.9. sz. Szivárvány Ó.'!W39</f>
        <v>3970455043</v>
      </c>
      <c r="F39" s="6">
        <f>+'2.1. sz. PMH'!AQ39+'2.2. sz. Hétszínvirág Óvoda'!AD39+'2.3. sz. Mese Óvoda'!X39+'2.4. sz. Bölcsőde'!U39+'2.5. sz. Gyermekjóléti'!AA39+'2.6 sz. Területi'!BL39+'2.7. sz. Könyvtár'!AD39+'2.8. sz. Műv.Ház'!AE39+'2.9. sz. Szivárvány Ó.'!AA39</f>
        <v>3408467050</v>
      </c>
      <c r="G39" s="6">
        <f>SUMIFS('2.1. sz. PMH'!D39:AL39,'2.1. sz. PMH'!$D$5:$AL$5,"önként vállalt",'2.1. sz. PMH'!$D$3:$AL$3,"Eredeti előirányzat")+SUMIFS('2.2. sz. Hétszínvirág Óvoda'!D39:Z39,'2.2. sz. Hétszínvirág Óvoda'!$D$5:$Z$5,"önként vállalt",'2.2. sz. Hétszínvirág Óvoda'!$D$3:$Z$3,"Eredeti előirányzat")+SUMIFS('2.3. sz. Mese Óvoda'!D39:T39,'2.3. sz. Mese Óvoda'!$D$5:$T$5,"önként vállalt",'2.3. sz. Mese Óvoda'!$D$3:$T$3,"Eredeti előirányzat")+SUMIFS('2.4. sz. Bölcsőde'!D39:Q39,'2.4. sz. Bölcsőde'!$D$5:$Q$5,"önként vállalt",'2.4. sz. Bölcsőde'!$D$3:$Q$3,"Eredeti előirányzat")+SUMIFS('2.5. sz. Gyermekjóléti'!D39:W39,'2.5. sz. Gyermekjóléti'!$D$5:$W$5,"önként vállalt",'2.5. sz. Gyermekjóléti'!$D$3:$W$3,"Eredeti előirányzat")+SUMIFS('2.6 sz. Területi'!D39:BG39,'2.6 sz. Területi'!$D$5:$BG$5,"önként vállalt",'2.6 sz. Területi'!$D$3:$BG$3,"Eredeti előirányzat")+SUMIFS('2.7. sz. Könyvtár'!D39:Z39,'2.7. sz. Könyvtár'!$D$5:$Z$5,"önként vállalt",'2.7. sz. Könyvtár'!$D$3:$Z$3,"Eredeti előirányzat")+SUMIFS('2.8. sz. Műv.Ház'!D39:Z39,'2.8. sz. Műv.Ház'!$D$5:$Z$5,"önként vállalt",'2.8. sz. Műv.Ház'!$D$3:$Z$3,"Eredeti előirányzat")+SUMIFS('2.9. sz. Szivárvány Ó.'!D39:W39,'2.9. sz. Szivárvány Ó.'!$D$5:$W$5,"önként vállalt",'2.9. sz. Szivárvány Ó.'!$D$3:$W$3,"Eredeti előirányzat")</f>
        <v>0</v>
      </c>
      <c r="H39" s="6">
        <f>+'2.6 sz. Területi'!N39+'2.6 sz. Területi'!Q39+'2.6 sz. Területi'!Z39+'2.6 sz. Területi'!AC39+'2.6 sz. Területi'!AF39+'2.8. sz. Műv.Ház'!N39</f>
        <v>0</v>
      </c>
      <c r="I39" s="6">
        <f>+'2.6 sz. Területi'!BM39+'2.8. sz. Műv.Ház'!AF39</f>
        <v>0</v>
      </c>
      <c r="J39" s="6">
        <f>SUMIFS('2.1. sz. PMH'!D39:AL39,'2.1. sz. PMH'!$D$5:$AL$5,"államigazgatási",'2.1. sz. PMH'!$D$3:$AL$3,"Eredeti előirányzat")+SUMIFS('2.2. sz. Hétszínvirág Óvoda'!D39:Z39,'2.2. sz. Hétszínvirág Óvoda'!$D$5:$Z$5,"államigazgatási",'2.2. sz. Hétszínvirág Óvoda'!$D$3:$Z$3,"Eredeti előirányzat")+SUMIFS('2.3. sz. Mese Óvoda'!D39:T39,'2.3. sz. Mese Óvoda'!$D$5:$T$5,"államigazgatási",'2.3. sz. Mese Óvoda'!$D$3:$T$3,"Eredeti előirányzat")+SUMIFS('2.4. sz. Bölcsőde'!D39:Q39,'2.4. sz. Bölcsőde'!$D$5:$Q$5,"államigazgatási",'2.4. sz. Bölcsőde'!$D$3:$Q$3,"Eredeti előirányzat")+SUMIFS('2.5. sz. Gyermekjóléti'!D39:W39,'2.5. sz. Gyermekjóléti'!$D$5:$W$5,"államigazgatási",'2.5. sz. Gyermekjóléti'!$D$3:$W$3,"Eredeti előirányzat")+SUMIFS('2.6 sz. Területi'!D39:BG39,'2.6 sz. Területi'!$D$5:$BG$5,"államigazgatási",'2.6 sz. Területi'!$D$3:$BG$3,"Eredeti előirányzat")+SUMIFS('2.7. sz. Könyvtár'!D39:Z39,'2.7. sz. Könyvtár'!$D$5:$Z$5,"államigazgatási",'2.7. sz. Könyvtár'!$D$3:$Z$3,"Eredeti előirányzat")+SUMIFS('2.8. sz. Műv.Ház'!D39:Z39,'2.8. sz. Műv.Ház'!$D$5:$Z$5,"államigazgatási",'2.8. sz. Műv.Ház'!$D$3:$Z$3,"Eredeti előirányzat")+SUMIFS('2.9. sz. Szivárvány Ó.'!D39:W39,'2.9. sz. Szivárvány Ó.'!$D$5:$W$5,"államigazgatási",'2.9. sz. Szivárvány Ó.'!$D$3:$W$3,"Eredeti előirányzat")</f>
        <v>0</v>
      </c>
      <c r="K39" s="6">
        <f>+'2.1. sz. PMH'!K39+'2.1. sz. PMH'!N39+'2.1. sz. PMH'!Q39+'2.1. sz. PMH'!T39+'2.1. sz. PMH'!Z39+'2.1. sz. PMH'!AC39+'2.1. sz. PMH'!AF39+'2.1. sz. PMH'!AI39</f>
        <v>0</v>
      </c>
      <c r="L39" s="6">
        <f>+'2.1. sz. PMH'!AS39</f>
        <v>0</v>
      </c>
      <c r="M39" s="6">
        <f t="shared" si="0"/>
        <v>3602166100</v>
      </c>
      <c r="N39" s="569">
        <f t="shared" si="1"/>
        <v>3970455043</v>
      </c>
      <c r="O39" s="569">
        <f t="shared" si="2"/>
        <v>3408467050</v>
      </c>
      <c r="Q39" s="19">
        <f>+'2.1. sz. PMH'!AP39+'2.2. sz. Hétszínvirág Óvoda'!AD39+'2.3. sz. Mese Óvoda'!X39+'2.4. sz. Bölcsőde'!U39+'2.5. sz. Gyermekjóléti'!AA39+'2.6 sz. Területi'!BK39+'2.7. sz. Könyvtár'!AD39+'2.8. sz. Műv.Ház'!AD39+'2.9. sz. Szivárvány Ó.'!AA39</f>
        <v>3408467050</v>
      </c>
      <c r="R39" s="80">
        <f t="shared" si="3"/>
        <v>0</v>
      </c>
    </row>
    <row r="40" spans="1:18" ht="23.25" customHeight="1" x14ac:dyDescent="0.25">
      <c r="A40" s="25" t="s">
        <v>272</v>
      </c>
      <c r="B40" s="90" t="s">
        <v>533</v>
      </c>
      <c r="C40" s="26"/>
      <c r="D40" s="6">
        <f>SUMIFS('2.1. sz. PMH'!D40:AL40,'2.1. sz. PMH'!$D$5:$AL$5,"kötelező",'2.1. sz. PMH'!$D$3:$AL$3,"Eredeti előirányzat")+SUMIFS('2.2. sz. Hétszínvirág Óvoda'!D40:Z40,'2.2. sz. Hétszínvirág Óvoda'!$D$5:$Z$5,"kötelező",'2.2. sz. Hétszínvirág Óvoda'!$D$3:$Z$3,"Eredeti előirányzat")+SUMIFS('2.3. sz. Mese Óvoda'!D40:T40,'2.3. sz. Mese Óvoda'!$D$5:$T$5,"kötelező",'2.3. sz. Mese Óvoda'!$D$3:$T$3,"Eredeti előirányzat")+SUMIFS('2.4. sz. Bölcsőde'!D40:Q40,'2.4. sz. Bölcsőde'!$D$5:$Q$5,"kötelező",'2.4. sz. Bölcsőde'!$D$3:$Q$3,"Eredeti előirányzat")+SUMIFS('2.5. sz. Gyermekjóléti'!D40:W40,'2.5. sz. Gyermekjóléti'!$D$5:$W$5,"kötelező",'2.5. sz. Gyermekjóléti'!$D$3:$W$3,"Eredeti előirányzat")+SUMIFS('2.6 sz. Területi'!D40:BG40,'2.6 sz. Területi'!$D$5:$BG$5,"kötelező",'2.6 sz. Területi'!$D$3:$BG$3,"Eredeti előirányzat")+SUMIFS('2.7. sz. Könyvtár'!D40:Z40,'2.7. sz. Könyvtár'!$D$5:$Z$5,"kötelező",'2.7. sz. Könyvtár'!$D$3:$Z$3,"Eredeti előirányzat")+SUMIFS('2.8. sz. Műv.Ház'!D40:Z40,'2.8. sz. Műv.Ház'!$D$5:$Z$5,"kötelező",'2.8. sz. Műv.Ház'!$D$3:$Z$3,"Eredeti előirányzat")+SUMIFS('2.9. sz. Szivárvány Ó.'!D40:W40,'2.9. sz. Szivárvány Ó.'!$D$5:$W$5,"kötelező",'2.9. sz. Szivárvány Ó.'!$D$3:$W$3,"Eredeti előirányzat")</f>
        <v>0</v>
      </c>
      <c r="E40" s="6">
        <f>+'2.1. sz. PMH'!E40+'2.1. sz. PMH'!H40+'2.1. sz. PMH'!W40+'2.1. sz. PMH'!AL40+'2.2. sz. Hétszínvirág Óvoda'!E40+'2.2. sz. Hétszínvirág Óvoda'!H40+'2.2. sz. Hétszínvirág Óvoda'!K40+'2.2. sz. Hétszínvirág Óvoda'!N40+'2.2. sz. Hétszínvirág Óvoda'!Q40+'2.2. sz. Hétszínvirág Óvoda'!T40+'2.2. sz. Hétszínvirág Óvoda'!W40+'2.2. sz. Hétszínvirág Óvoda'!Z40+'2.3. sz. Mese Óvoda'!E40+'2.3. sz. Mese Óvoda'!H40+'2.3. sz. Mese Óvoda'!K40+'2.3. sz. Mese Óvoda'!N40+'2.3. sz. Mese Óvoda'!Q40+'2.3. sz. Mese Óvoda'!T40+'2.4. sz. Bölcsőde'!E40+'2.4. sz. Bölcsőde'!H40+'2.4. sz. Bölcsőde'!K40+'2.4. sz. Bölcsőde'!N40+'2.4. sz. Bölcsőde'!Q40+'2.5. sz. Gyermekjóléti'!E40+'2.5. sz. Gyermekjóléti'!H40+'2.5. sz. Gyermekjóléti'!K40+'2.5. sz. Gyermekjóléti'!N40+'2.5. sz. Gyermekjóléti'!Q40+'2.5. sz. Gyermekjóléti'!T40+'2.5. sz. Gyermekjóléti'!W40+'2.6 sz. Területi'!E40+'2.6 sz. Területi'!H40+'2.6 sz. Területi'!K40+'2.6 sz. Területi'!T40+'2.6 sz. Területi'!W40+'2.6 sz. Területi'!AI40+'2.6 sz. Területi'!AL40+'2.6 sz. Területi'!AO40+'2.6 sz. Területi'!AR40+'2.6 sz. Területi'!AU40+'2.6 sz. Területi'!AX40+'2.6 sz. Területi'!BA40+'2.6 sz. Területi'!BD40+'2.6 sz. Területi'!BG40+'2.7. sz. Könyvtár'!E40+'2.7. sz. Könyvtár'!H40+'2.7. sz. Könyvtár'!K40+'2.7. sz. Könyvtár'!N40+'2.7. sz. Könyvtár'!Q40+'2.7. sz. Könyvtár'!T40+'2.7. sz. Könyvtár'!W40+'2.7. sz. Könyvtár'!Z40+'2.8. sz. Műv.Ház'!E40+'2.8. sz. Műv.Ház'!H40+'2.8. sz. Műv.Ház'!K40+'2.8. sz. Műv.Ház'!Q40+'2.8. sz. Műv.Ház'!T40+'2.8. sz. Műv.Ház'!W40+'2.8. sz. Műv.Ház'!Z40+'2.9. sz. Szivárvány Ó.'!E40+'2.9. sz. Szivárvány Ó.'!H40+'2.9. sz. Szivárvány Ó.'!K40+'2.9. sz. Szivárvány Ó.'!N40+'2.9. sz. Szivárvány Ó.'!Q40+'2.9. sz. Szivárvány Ó.'!T40+'2.9. sz. Szivárvány Ó.'!W40</f>
        <v>0</v>
      </c>
      <c r="F40" s="6">
        <f>+'2.1. sz. PMH'!AQ40+'2.2. sz. Hétszínvirág Óvoda'!AD40+'2.3. sz. Mese Óvoda'!X40+'2.4. sz. Bölcsőde'!U40+'2.5. sz. Gyermekjóléti'!AA40+'2.6 sz. Területi'!BL40+'2.7. sz. Könyvtár'!AD40+'2.8. sz. Műv.Ház'!AE40+'2.9. sz. Szivárvány Ó.'!AA40</f>
        <v>0</v>
      </c>
      <c r="G40" s="6">
        <f>SUMIFS('2.1. sz. PMH'!D40:AL40,'2.1. sz. PMH'!$D$5:$AL$5,"önként vállalt",'2.1. sz. PMH'!$D$3:$AL$3,"Eredeti előirányzat")+SUMIFS('2.2. sz. Hétszínvirág Óvoda'!D40:Z40,'2.2. sz. Hétszínvirág Óvoda'!$D$5:$Z$5,"önként vállalt",'2.2. sz. Hétszínvirág Óvoda'!$D$3:$Z$3,"Eredeti előirányzat")+SUMIFS('2.3. sz. Mese Óvoda'!D40:T40,'2.3. sz. Mese Óvoda'!$D$5:$T$5,"önként vállalt",'2.3. sz. Mese Óvoda'!$D$3:$T$3,"Eredeti előirányzat")+SUMIFS('2.4. sz. Bölcsőde'!D40:Q40,'2.4. sz. Bölcsőde'!$D$5:$Q$5,"önként vállalt",'2.4. sz. Bölcsőde'!$D$3:$Q$3,"Eredeti előirányzat")+SUMIFS('2.5. sz. Gyermekjóléti'!D40:W40,'2.5. sz. Gyermekjóléti'!$D$5:$W$5,"önként vállalt",'2.5. sz. Gyermekjóléti'!$D$3:$W$3,"Eredeti előirányzat")+SUMIFS('2.6 sz. Területi'!D40:BG40,'2.6 sz. Területi'!$D$5:$BG$5,"önként vállalt",'2.6 sz. Területi'!$D$3:$BG$3,"Eredeti előirányzat")+SUMIFS('2.7. sz. Könyvtár'!D40:Z40,'2.7. sz. Könyvtár'!$D$5:$Z$5,"önként vállalt",'2.7. sz. Könyvtár'!$D$3:$Z$3,"Eredeti előirányzat")+SUMIFS('2.8. sz. Műv.Ház'!D40:Z40,'2.8. sz. Műv.Ház'!$D$5:$Z$5,"önként vállalt",'2.8. sz. Műv.Ház'!$D$3:$Z$3,"Eredeti előirányzat")+SUMIFS('2.9. sz. Szivárvány Ó.'!D40:W40,'2.9. sz. Szivárvány Ó.'!$D$5:$W$5,"önként vállalt",'2.9. sz. Szivárvány Ó.'!$D$3:$W$3,"Eredeti előirányzat")</f>
        <v>0</v>
      </c>
      <c r="H40" s="6">
        <f>+'2.6 sz. Területi'!N40+'2.6 sz. Területi'!Q40+'2.6 sz. Területi'!Z40+'2.6 sz. Területi'!AC40+'2.6 sz. Területi'!AF40+'2.8. sz. Műv.Ház'!N40</f>
        <v>0</v>
      </c>
      <c r="I40" s="6">
        <f>+'2.6 sz. Területi'!BM40+'2.8. sz. Műv.Ház'!AF40</f>
        <v>0</v>
      </c>
      <c r="J40" s="6">
        <f>SUMIFS('2.1. sz. PMH'!D40:AL40,'2.1. sz. PMH'!$D$5:$AL$5,"államigazgatási",'2.1. sz. PMH'!$D$3:$AL$3,"Eredeti előirányzat")+SUMIFS('2.2. sz. Hétszínvirág Óvoda'!D40:Z40,'2.2. sz. Hétszínvirág Óvoda'!$D$5:$Z$5,"államigazgatási",'2.2. sz. Hétszínvirág Óvoda'!$D$3:$Z$3,"Eredeti előirányzat")+SUMIFS('2.3. sz. Mese Óvoda'!D40:T40,'2.3. sz. Mese Óvoda'!$D$5:$T$5,"államigazgatási",'2.3. sz. Mese Óvoda'!$D$3:$T$3,"Eredeti előirányzat")+SUMIFS('2.4. sz. Bölcsőde'!D40:Q40,'2.4. sz. Bölcsőde'!$D$5:$Q$5,"államigazgatási",'2.4. sz. Bölcsőde'!$D$3:$Q$3,"Eredeti előirányzat")+SUMIFS('2.5. sz. Gyermekjóléti'!D40:W40,'2.5. sz. Gyermekjóléti'!$D$5:$W$5,"államigazgatási",'2.5. sz. Gyermekjóléti'!$D$3:$W$3,"Eredeti előirányzat")+SUMIFS('2.6 sz. Területi'!D40:BG40,'2.6 sz. Területi'!$D$5:$BG$5,"államigazgatási",'2.6 sz. Területi'!$D$3:$BG$3,"Eredeti előirányzat")+SUMIFS('2.7. sz. Könyvtár'!D40:Z40,'2.7. sz. Könyvtár'!$D$5:$Z$5,"államigazgatási",'2.7. sz. Könyvtár'!$D$3:$Z$3,"Eredeti előirányzat")+SUMIFS('2.8. sz. Műv.Ház'!D40:Z40,'2.8. sz. Műv.Ház'!$D$5:$Z$5,"államigazgatási",'2.8. sz. Műv.Ház'!$D$3:$Z$3,"Eredeti előirányzat")+SUMIFS('2.9. sz. Szivárvány Ó.'!D40:W40,'2.9. sz. Szivárvány Ó.'!$D$5:$W$5,"államigazgatási",'2.9. sz. Szivárvány Ó.'!$D$3:$W$3,"Eredeti előirányzat")</f>
        <v>0</v>
      </c>
      <c r="K40" s="6">
        <f>+'2.1. sz. PMH'!K40+'2.1. sz. PMH'!N40+'2.1. sz. PMH'!Q40+'2.1. sz. PMH'!T40+'2.1. sz. PMH'!Z40+'2.1. sz. PMH'!AC40+'2.1. sz. PMH'!AF40+'2.1. sz. PMH'!AI40</f>
        <v>0</v>
      </c>
      <c r="L40" s="6">
        <f>+'2.1. sz. PMH'!AS40</f>
        <v>0</v>
      </c>
      <c r="M40" s="6">
        <f t="shared" si="0"/>
        <v>0</v>
      </c>
      <c r="N40" s="569">
        <f t="shared" si="1"/>
        <v>0</v>
      </c>
      <c r="O40" s="569">
        <f t="shared" si="2"/>
        <v>0</v>
      </c>
      <c r="Q40" s="19">
        <f>+'2.1. sz. PMH'!AP40+'2.2. sz. Hétszínvirág Óvoda'!AD40+'2.3. sz. Mese Óvoda'!X40+'2.4. sz. Bölcsőde'!U40+'2.5. sz. Gyermekjóléti'!AA40+'2.6 sz. Területi'!BK40+'2.7. sz. Könyvtár'!AD40+'2.8. sz. Műv.Ház'!AD40+'2.9. sz. Szivárvány Ó.'!AA40</f>
        <v>0</v>
      </c>
      <c r="R40" s="80">
        <f t="shared" si="3"/>
        <v>0</v>
      </c>
    </row>
    <row r="41" spans="1:18" ht="23.25" customHeight="1" x14ac:dyDescent="0.25">
      <c r="A41" s="25" t="s">
        <v>273</v>
      </c>
      <c r="B41" s="32" t="s">
        <v>768</v>
      </c>
      <c r="C41" s="30"/>
      <c r="D41" s="6">
        <f>SUMIFS('2.1. sz. PMH'!D41:AL41,'2.1. sz. PMH'!$D$5:$AL$5,"kötelező",'2.1. sz. PMH'!$D$3:$AL$3,"Eredeti előirányzat")+SUMIFS('2.2. sz. Hétszínvirág Óvoda'!D41:Z41,'2.2. sz. Hétszínvirág Óvoda'!$D$5:$Z$5,"kötelező",'2.2. sz. Hétszínvirág Óvoda'!$D$3:$Z$3,"Eredeti előirányzat")+SUMIFS('2.3. sz. Mese Óvoda'!D41:T41,'2.3. sz. Mese Óvoda'!$D$5:$T$5,"kötelező",'2.3. sz. Mese Óvoda'!$D$3:$T$3,"Eredeti előirányzat")+SUMIFS('2.4. sz. Bölcsőde'!D41:Q41,'2.4. sz. Bölcsőde'!$D$5:$Q$5,"kötelező",'2.4. sz. Bölcsőde'!$D$3:$Q$3,"Eredeti előirányzat")+SUMIFS('2.5. sz. Gyermekjóléti'!D41:W41,'2.5. sz. Gyermekjóléti'!$D$5:$W$5,"kötelező",'2.5. sz. Gyermekjóléti'!$D$3:$W$3,"Eredeti előirányzat")+SUMIFS('2.6 sz. Területi'!D41:BG41,'2.6 sz. Területi'!$D$5:$BG$5,"kötelező",'2.6 sz. Területi'!$D$3:$BG$3,"Eredeti előirányzat")+SUMIFS('2.7. sz. Könyvtár'!D41:Z41,'2.7. sz. Könyvtár'!$D$5:$Z$5,"kötelező",'2.7. sz. Könyvtár'!$D$3:$Z$3,"Eredeti előirányzat")+SUMIFS('2.8. sz. Műv.Ház'!D41:Z41,'2.8. sz. Műv.Ház'!$D$5:$Z$5,"kötelező",'2.8. sz. Műv.Ház'!$D$3:$Z$3,"Eredeti előirányzat")+SUMIFS('2.9. sz. Szivárvány Ó.'!D41:W41,'2.9. sz. Szivárvány Ó.'!$D$5:$W$5,"kötelező",'2.9. sz. Szivárvány Ó.'!$D$3:$W$3,"Eredeti előirányzat")</f>
        <v>22885262</v>
      </c>
      <c r="E41" s="6">
        <f>+'2.1. sz. PMH'!E41+'2.1. sz. PMH'!H41+'2.1. sz. PMH'!W41+'2.1. sz. PMH'!AL41+'2.2. sz. Hétszínvirág Óvoda'!E41+'2.2. sz. Hétszínvirág Óvoda'!H41+'2.2. sz. Hétszínvirág Óvoda'!K41+'2.2. sz. Hétszínvirág Óvoda'!N41+'2.2. sz. Hétszínvirág Óvoda'!Q41+'2.2. sz. Hétszínvirág Óvoda'!T41+'2.2. sz. Hétszínvirág Óvoda'!W41+'2.2. sz. Hétszínvirág Óvoda'!Z41+'2.3. sz. Mese Óvoda'!E41+'2.3. sz. Mese Óvoda'!H41+'2.3. sz. Mese Óvoda'!K41+'2.3. sz. Mese Óvoda'!N41+'2.3. sz. Mese Óvoda'!Q41+'2.3. sz. Mese Óvoda'!T41+'2.4. sz. Bölcsőde'!E41+'2.4. sz. Bölcsőde'!H41+'2.4. sz. Bölcsőde'!K41+'2.4. sz. Bölcsőde'!N41+'2.4. sz. Bölcsőde'!Q41+'2.5. sz. Gyermekjóléti'!E41+'2.5. sz. Gyermekjóléti'!H41+'2.5. sz. Gyermekjóléti'!K41+'2.5. sz. Gyermekjóléti'!N41+'2.5. sz. Gyermekjóléti'!Q41+'2.5. sz. Gyermekjóléti'!T41+'2.5. sz. Gyermekjóléti'!W41+'2.6 sz. Területi'!E41+'2.6 sz. Területi'!H41+'2.6 sz. Területi'!K41+'2.6 sz. Területi'!T41+'2.6 sz. Területi'!W41+'2.6 sz. Területi'!AI41+'2.6 sz. Területi'!AL41+'2.6 sz. Területi'!AO41+'2.6 sz. Területi'!AR41+'2.6 sz. Területi'!AU41+'2.6 sz. Területi'!AX41+'2.6 sz. Területi'!BA41+'2.6 sz. Területi'!BD41+'2.6 sz. Területi'!BG41+'2.7. sz. Könyvtár'!E41+'2.7. sz. Könyvtár'!H41+'2.7. sz. Könyvtár'!K41+'2.7. sz. Könyvtár'!N41+'2.7. sz. Könyvtár'!Q41+'2.7. sz. Könyvtár'!T41+'2.7. sz. Könyvtár'!W41+'2.7. sz. Könyvtár'!Z41+'2.8. sz. Műv.Ház'!E41+'2.8. sz. Műv.Ház'!H41+'2.8. sz. Műv.Ház'!K41+'2.8. sz. Műv.Ház'!Q41+'2.8. sz. Műv.Ház'!T41+'2.8. sz. Műv.Ház'!W41+'2.8. sz. Műv.Ház'!Z41+'2.9. sz. Szivárvány Ó.'!E41+'2.9. sz. Szivárvány Ó.'!H41+'2.9. sz. Szivárvány Ó.'!K41+'2.9. sz. Szivárvány Ó.'!N41+'2.9. sz. Szivárvány Ó.'!Q41+'2.9. sz. Szivárvány Ó.'!T41+'2.9. sz. Szivárvány Ó.'!W41</f>
        <v>182217969</v>
      </c>
      <c r="F41" s="6">
        <f>+'2.1. sz. PMH'!AQ41+'2.2. sz. Hétszínvirág Óvoda'!AD41+'2.3. sz. Mese Óvoda'!X41+'2.4. sz. Bölcsőde'!U41+'2.5. sz. Gyermekjóléti'!AA41+'2.6 sz. Területi'!BL41+'2.7. sz. Könyvtár'!AD41+'2.8. sz. Műv.Ház'!AE41+'2.9. sz. Szivárvány Ó.'!AA41</f>
        <v>182217969</v>
      </c>
      <c r="G41" s="6">
        <f>SUMIFS('2.1. sz. PMH'!D41:AL41,'2.1. sz. PMH'!$D$5:$AL$5,"önként vállalt",'2.1. sz. PMH'!$D$3:$AL$3,"Eredeti előirányzat")+SUMIFS('2.2. sz. Hétszínvirág Óvoda'!D41:Z41,'2.2. sz. Hétszínvirág Óvoda'!$D$5:$Z$5,"önként vállalt",'2.2. sz. Hétszínvirág Óvoda'!$D$3:$Z$3,"Eredeti előirányzat")+SUMIFS('2.3. sz. Mese Óvoda'!D41:T41,'2.3. sz. Mese Óvoda'!$D$5:$T$5,"önként vállalt",'2.3. sz. Mese Óvoda'!$D$3:$T$3,"Eredeti előirányzat")+SUMIFS('2.4. sz. Bölcsőde'!D41:Q41,'2.4. sz. Bölcsőde'!$D$5:$Q$5,"önként vállalt",'2.4. sz. Bölcsőde'!$D$3:$Q$3,"Eredeti előirányzat")+SUMIFS('2.5. sz. Gyermekjóléti'!D41:W41,'2.5. sz. Gyermekjóléti'!$D$5:$W$5,"önként vállalt",'2.5. sz. Gyermekjóléti'!$D$3:$W$3,"Eredeti előirányzat")+SUMIFS('2.6 sz. Területi'!D41:BG41,'2.6 sz. Területi'!$D$5:$BG$5,"önként vállalt",'2.6 sz. Területi'!$D$3:$BG$3,"Eredeti előirányzat")+SUMIFS('2.7. sz. Könyvtár'!D41:Z41,'2.7. sz. Könyvtár'!$D$5:$Z$5,"önként vállalt",'2.7. sz. Könyvtár'!$D$3:$Z$3,"Eredeti előirányzat")+SUMIFS('2.8. sz. Műv.Ház'!D41:Z41,'2.8. sz. Műv.Ház'!$D$5:$Z$5,"önként vállalt",'2.8. sz. Műv.Ház'!$D$3:$Z$3,"Eredeti előirányzat")+SUMIFS('2.9. sz. Szivárvány Ó.'!D41:W41,'2.9. sz. Szivárvány Ó.'!$D$5:$W$5,"önként vállalt",'2.9. sz. Szivárvány Ó.'!$D$3:$W$3,"Eredeti előirányzat")</f>
        <v>0</v>
      </c>
      <c r="H41" s="6">
        <f>+'2.6 sz. Területi'!N41+'2.6 sz. Területi'!Q41+'2.6 sz. Területi'!Z41+'2.6 sz. Területi'!AC41+'2.6 sz. Területi'!AF41+'2.8. sz. Műv.Ház'!N41</f>
        <v>0</v>
      </c>
      <c r="I41" s="6">
        <f>+'2.6 sz. Területi'!BM41+'2.8. sz. Műv.Ház'!AF41</f>
        <v>0</v>
      </c>
      <c r="J41" s="6">
        <f>SUMIFS('2.1. sz. PMH'!D41:AL41,'2.1. sz. PMH'!$D$5:$AL$5,"államigazgatási",'2.1. sz. PMH'!$D$3:$AL$3,"Eredeti előirányzat")+SUMIFS('2.2. sz. Hétszínvirág Óvoda'!D41:Z41,'2.2. sz. Hétszínvirág Óvoda'!$D$5:$Z$5,"államigazgatási",'2.2. sz. Hétszínvirág Óvoda'!$D$3:$Z$3,"Eredeti előirányzat")+SUMIFS('2.3. sz. Mese Óvoda'!D41:T41,'2.3. sz. Mese Óvoda'!$D$5:$T$5,"államigazgatási",'2.3. sz. Mese Óvoda'!$D$3:$T$3,"Eredeti előirányzat")+SUMIFS('2.4. sz. Bölcsőde'!D41:Q41,'2.4. sz. Bölcsőde'!$D$5:$Q$5,"államigazgatási",'2.4. sz. Bölcsőde'!$D$3:$Q$3,"Eredeti előirányzat")+SUMIFS('2.5. sz. Gyermekjóléti'!D41:W41,'2.5. sz. Gyermekjóléti'!$D$5:$W$5,"államigazgatási",'2.5. sz. Gyermekjóléti'!$D$3:$W$3,"Eredeti előirányzat")+SUMIFS('2.6 sz. Területi'!D41:BG41,'2.6 sz. Területi'!$D$5:$BG$5,"államigazgatási",'2.6 sz. Területi'!$D$3:$BG$3,"Eredeti előirányzat")+SUMIFS('2.7. sz. Könyvtár'!D41:Z41,'2.7. sz. Könyvtár'!$D$5:$Z$5,"államigazgatási",'2.7. sz. Könyvtár'!$D$3:$Z$3,"Eredeti előirányzat")+SUMIFS('2.8. sz. Műv.Ház'!D41:Z41,'2.8. sz. Műv.Ház'!$D$5:$Z$5,"államigazgatási",'2.8. sz. Műv.Ház'!$D$3:$Z$3,"Eredeti előirányzat")+SUMIFS('2.9. sz. Szivárvány Ó.'!D41:W41,'2.9. sz. Szivárvány Ó.'!$D$5:$W$5,"államigazgatási",'2.9. sz. Szivárvány Ó.'!$D$3:$W$3,"Eredeti előirányzat")</f>
        <v>0</v>
      </c>
      <c r="K41" s="6">
        <f>+'2.1. sz. PMH'!K41+'2.1. sz. PMH'!N41+'2.1. sz. PMH'!Q41+'2.1. sz. PMH'!T41+'2.1. sz. PMH'!Z41+'2.1. sz. PMH'!AC41+'2.1. sz. PMH'!AF41+'2.1. sz. PMH'!AI41</f>
        <v>0</v>
      </c>
      <c r="L41" s="6">
        <f>+'2.1. sz. PMH'!AS41</f>
        <v>0</v>
      </c>
      <c r="M41" s="6">
        <f t="shared" si="0"/>
        <v>22885262</v>
      </c>
      <c r="N41" s="569">
        <f t="shared" si="1"/>
        <v>182217969</v>
      </c>
      <c r="O41" s="569">
        <f t="shared" si="2"/>
        <v>182217969</v>
      </c>
      <c r="Q41" s="19">
        <f>+'2.1. sz. PMH'!AP41+'2.2. sz. Hétszínvirág Óvoda'!AD41+'2.3. sz. Mese Óvoda'!X41+'2.4. sz. Bölcsőde'!U41+'2.5. sz. Gyermekjóléti'!AA41+'2.6 sz. Területi'!BK41+'2.7. sz. Könyvtár'!AD41+'2.8. sz. Műv.Ház'!AD41+'2.9. sz. Szivárvány Ó.'!AA41</f>
        <v>182217969</v>
      </c>
      <c r="R41" s="80">
        <f t="shared" si="3"/>
        <v>0</v>
      </c>
    </row>
    <row r="42" spans="1:18" ht="23.25" customHeight="1" x14ac:dyDescent="0.25">
      <c r="A42" s="25" t="s">
        <v>277</v>
      </c>
      <c r="B42" s="32" t="s">
        <v>769</v>
      </c>
      <c r="C42" s="30"/>
      <c r="D42" s="6">
        <f>SUMIFS('2.1. sz. PMH'!D42:AL42,'2.1. sz. PMH'!$D$5:$AL$5,"kötelező",'2.1. sz. PMH'!$D$3:$AL$3,"Eredeti előirányzat")+SUMIFS('2.2. sz. Hétszínvirág Óvoda'!D42:Z42,'2.2. sz. Hétszínvirág Óvoda'!$D$5:$Z$5,"kötelező",'2.2. sz. Hétszínvirág Óvoda'!$D$3:$Z$3,"Eredeti előirányzat")+SUMIFS('2.3. sz. Mese Óvoda'!D42:T42,'2.3. sz. Mese Óvoda'!$D$5:$T$5,"kötelező",'2.3. sz. Mese Óvoda'!$D$3:$T$3,"Eredeti előirányzat")+SUMIFS('2.4. sz. Bölcsőde'!D42:Q42,'2.4. sz. Bölcsőde'!$D$5:$Q$5,"kötelező",'2.4. sz. Bölcsőde'!$D$3:$Q$3,"Eredeti előirányzat")+SUMIFS('2.5. sz. Gyermekjóléti'!D42:W42,'2.5. sz. Gyermekjóléti'!$D$5:$W$5,"kötelező",'2.5. sz. Gyermekjóléti'!$D$3:$W$3,"Eredeti előirányzat")+SUMIFS('2.6 sz. Területi'!D42:BG42,'2.6 sz. Területi'!$D$5:$BG$5,"kötelező",'2.6 sz. Területi'!$D$3:$BG$3,"Eredeti előirányzat")+SUMIFS('2.7. sz. Könyvtár'!D42:Z42,'2.7. sz. Könyvtár'!$D$5:$Z$5,"kötelező",'2.7. sz. Könyvtár'!$D$3:$Z$3,"Eredeti előirányzat")+SUMIFS('2.8. sz. Műv.Ház'!D42:Z42,'2.8. sz. Műv.Ház'!$D$5:$Z$5,"kötelező",'2.8. sz. Műv.Ház'!$D$3:$Z$3,"Eredeti előirányzat")+SUMIFS('2.9. sz. Szivárvány Ó.'!D42:W42,'2.9. sz. Szivárvány Ó.'!$D$5:$W$5,"kötelező",'2.9. sz. Szivárvány Ó.'!$D$3:$W$3,"Eredeti előirányzat")</f>
        <v>3488795</v>
      </c>
      <c r="E42" s="6">
        <f>+'2.1. sz. PMH'!E42+'2.1. sz. PMH'!H42+'2.1. sz. PMH'!W42+'2.1. sz. PMH'!AL42+'2.2. sz. Hétszínvirág Óvoda'!E42+'2.2. sz. Hétszínvirág Óvoda'!H42+'2.2. sz. Hétszínvirág Óvoda'!K42+'2.2. sz. Hétszínvirág Óvoda'!N42+'2.2. sz. Hétszínvirág Óvoda'!Q42+'2.2. sz. Hétszínvirág Óvoda'!T42+'2.2. sz. Hétszínvirág Óvoda'!W42+'2.2. sz. Hétszínvirág Óvoda'!Z42+'2.3. sz. Mese Óvoda'!E42+'2.3. sz. Mese Óvoda'!H42+'2.3. sz. Mese Óvoda'!K42+'2.3. sz. Mese Óvoda'!N42+'2.3. sz. Mese Óvoda'!Q42+'2.3. sz. Mese Óvoda'!T42+'2.4. sz. Bölcsőde'!E42+'2.4. sz. Bölcsőde'!H42+'2.4. sz. Bölcsőde'!K42+'2.4. sz. Bölcsőde'!N42+'2.4. sz. Bölcsőde'!Q42+'2.5. sz. Gyermekjóléti'!E42+'2.5. sz. Gyermekjóléti'!H42+'2.5. sz. Gyermekjóléti'!K42+'2.5. sz. Gyermekjóléti'!N42+'2.5. sz. Gyermekjóléti'!Q42+'2.5. sz. Gyermekjóléti'!T42+'2.5. sz. Gyermekjóléti'!W42+'2.6 sz. Területi'!E42+'2.6 sz. Területi'!H42+'2.6 sz. Területi'!K42+'2.6 sz. Területi'!T42+'2.6 sz. Területi'!W42+'2.6 sz. Területi'!AI42+'2.6 sz. Területi'!AL42+'2.6 sz. Területi'!AO42+'2.6 sz. Területi'!AR42+'2.6 sz. Területi'!AU42+'2.6 sz. Területi'!AX42+'2.6 sz. Területi'!BA42+'2.6 sz. Területi'!BD42+'2.6 sz. Területi'!BG42+'2.7. sz. Könyvtár'!E42+'2.7. sz. Könyvtár'!H42+'2.7. sz. Könyvtár'!K42+'2.7. sz. Könyvtár'!N42+'2.7. sz. Könyvtár'!Q42+'2.7. sz. Könyvtár'!T42+'2.7. sz. Könyvtár'!W42+'2.7. sz. Könyvtár'!Z42+'2.8. sz. Műv.Ház'!E42+'2.8. sz. Műv.Ház'!H42+'2.8. sz. Műv.Ház'!K42+'2.8. sz. Műv.Ház'!Q42+'2.8. sz. Műv.Ház'!T42+'2.8. sz. Műv.Ház'!W42+'2.8. sz. Műv.Ház'!Z42+'2.9. sz. Szivárvány Ó.'!E42+'2.9. sz. Szivárvány Ó.'!H42+'2.9. sz. Szivárvány Ó.'!K42+'2.9. sz. Szivárvány Ó.'!N42+'2.9. sz. Szivárvány Ó.'!Q42+'2.9. sz. Szivárvány Ó.'!T42+'2.9. sz. Szivárvány Ó.'!W42</f>
        <v>3488795</v>
      </c>
      <c r="F42" s="6">
        <f>+'2.1. sz. PMH'!AQ42+'2.2. sz. Hétszínvirág Óvoda'!AD42+'2.3. sz. Mese Óvoda'!X42+'2.4. sz. Bölcsőde'!U42+'2.5. sz. Gyermekjóléti'!AA42+'2.6 sz. Területi'!BL42+'2.7. sz. Könyvtár'!AD42+'2.8. sz. Műv.Ház'!AE42+'2.9. sz. Szivárvány Ó.'!AA42</f>
        <v>3488795</v>
      </c>
      <c r="G42" s="6">
        <f>SUMIFS('2.1. sz. PMH'!D42:AL42,'2.1. sz. PMH'!$D$5:$AL$5,"önként vállalt",'2.1. sz. PMH'!$D$3:$AL$3,"Eredeti előirányzat")+SUMIFS('2.2. sz. Hétszínvirág Óvoda'!D42:Z42,'2.2. sz. Hétszínvirág Óvoda'!$D$5:$Z$5,"önként vállalt",'2.2. sz. Hétszínvirág Óvoda'!$D$3:$Z$3,"Eredeti előirányzat")+SUMIFS('2.3. sz. Mese Óvoda'!D42:T42,'2.3. sz. Mese Óvoda'!$D$5:$T$5,"önként vállalt",'2.3. sz. Mese Óvoda'!$D$3:$T$3,"Eredeti előirányzat")+SUMIFS('2.4. sz. Bölcsőde'!D42:Q42,'2.4. sz. Bölcsőde'!$D$5:$Q$5,"önként vállalt",'2.4. sz. Bölcsőde'!$D$3:$Q$3,"Eredeti előirányzat")+SUMIFS('2.5. sz. Gyermekjóléti'!D42:W42,'2.5. sz. Gyermekjóléti'!$D$5:$W$5,"önként vállalt",'2.5. sz. Gyermekjóléti'!$D$3:$W$3,"Eredeti előirányzat")+SUMIFS('2.6 sz. Területi'!D42:BG42,'2.6 sz. Területi'!$D$5:$BG$5,"önként vállalt",'2.6 sz. Területi'!$D$3:$BG$3,"Eredeti előirányzat")+SUMIFS('2.7. sz. Könyvtár'!D42:Z42,'2.7. sz. Könyvtár'!$D$5:$Z$5,"önként vállalt",'2.7. sz. Könyvtár'!$D$3:$Z$3,"Eredeti előirányzat")+SUMIFS('2.8. sz. Műv.Ház'!D42:Z42,'2.8. sz. Műv.Ház'!$D$5:$Z$5,"önként vállalt",'2.8. sz. Műv.Ház'!$D$3:$Z$3,"Eredeti előirányzat")+SUMIFS('2.9. sz. Szivárvány Ó.'!D42:W42,'2.9. sz. Szivárvány Ó.'!$D$5:$W$5,"önként vállalt",'2.9. sz. Szivárvány Ó.'!$D$3:$W$3,"Eredeti előirányzat")</f>
        <v>0</v>
      </c>
      <c r="H42" s="6">
        <f>+'2.6 sz. Területi'!N42+'2.6 sz. Területi'!Q42+'2.6 sz. Területi'!Z42+'2.6 sz. Területi'!AC42+'2.6 sz. Területi'!AF42+'2.8. sz. Műv.Ház'!N42</f>
        <v>0</v>
      </c>
      <c r="I42" s="6">
        <f>+'2.6 sz. Területi'!BM42+'2.8. sz. Műv.Ház'!AF42</f>
        <v>0</v>
      </c>
      <c r="J42" s="6">
        <f>SUMIFS('2.1. sz. PMH'!D42:AL42,'2.1. sz. PMH'!$D$5:$AL$5,"államigazgatási",'2.1. sz. PMH'!$D$3:$AL$3,"Eredeti előirányzat")+SUMIFS('2.2. sz. Hétszínvirág Óvoda'!D42:Z42,'2.2. sz. Hétszínvirág Óvoda'!$D$5:$Z$5,"államigazgatási",'2.2. sz. Hétszínvirág Óvoda'!$D$3:$Z$3,"Eredeti előirányzat")+SUMIFS('2.3. sz. Mese Óvoda'!D42:T42,'2.3. sz. Mese Óvoda'!$D$5:$T$5,"államigazgatási",'2.3. sz. Mese Óvoda'!$D$3:$T$3,"Eredeti előirányzat")+SUMIFS('2.4. sz. Bölcsőde'!D42:Q42,'2.4. sz. Bölcsőde'!$D$5:$Q$5,"államigazgatási",'2.4. sz. Bölcsőde'!$D$3:$Q$3,"Eredeti előirányzat")+SUMIFS('2.5. sz. Gyermekjóléti'!D42:W42,'2.5. sz. Gyermekjóléti'!$D$5:$W$5,"államigazgatási",'2.5. sz. Gyermekjóléti'!$D$3:$W$3,"Eredeti előirányzat")+SUMIFS('2.6 sz. Területi'!D42:BG42,'2.6 sz. Területi'!$D$5:$BG$5,"államigazgatási",'2.6 sz. Területi'!$D$3:$BG$3,"Eredeti előirányzat")+SUMIFS('2.7. sz. Könyvtár'!D42:Z42,'2.7. sz. Könyvtár'!$D$5:$Z$5,"államigazgatási",'2.7. sz. Könyvtár'!$D$3:$Z$3,"Eredeti előirányzat")+SUMIFS('2.8. sz. Műv.Ház'!D42:Z42,'2.8. sz. Műv.Ház'!$D$5:$Z$5,"államigazgatási",'2.8. sz. Műv.Ház'!$D$3:$Z$3,"Eredeti előirányzat")+SUMIFS('2.9. sz. Szivárvány Ó.'!D42:W42,'2.9. sz. Szivárvány Ó.'!$D$5:$W$5,"államigazgatási",'2.9. sz. Szivárvány Ó.'!$D$3:$W$3,"Eredeti előirányzat")</f>
        <v>0</v>
      </c>
      <c r="K42" s="6">
        <f>+'2.1. sz. PMH'!K42+'2.1. sz. PMH'!N42+'2.1. sz. PMH'!Q42+'2.1. sz. PMH'!T42+'2.1. sz. PMH'!Z42+'2.1. sz. PMH'!AC42+'2.1. sz. PMH'!AF42+'2.1. sz. PMH'!AI42</f>
        <v>0</v>
      </c>
      <c r="L42" s="6">
        <f>+'2.1. sz. PMH'!AS42</f>
        <v>0</v>
      </c>
      <c r="M42" s="6">
        <f t="shared" si="0"/>
        <v>3488795</v>
      </c>
      <c r="N42" s="569">
        <f t="shared" si="1"/>
        <v>3488795</v>
      </c>
      <c r="O42" s="569">
        <f t="shared" si="2"/>
        <v>3488795</v>
      </c>
      <c r="Q42" s="19">
        <f>+'2.1. sz. PMH'!AP42+'2.2. sz. Hétszínvirág Óvoda'!AD42+'2.3. sz. Mese Óvoda'!X42+'2.4. sz. Bölcsőde'!U42+'2.5. sz. Gyermekjóléti'!AA42+'2.6 sz. Területi'!BK42+'2.7. sz. Könyvtár'!AD42+'2.8. sz. Műv.Ház'!AD42+'2.9. sz. Szivárvány Ó.'!AA42</f>
        <v>3488795</v>
      </c>
      <c r="R42" s="80">
        <f t="shared" si="3"/>
        <v>0</v>
      </c>
    </row>
    <row r="43" spans="1:18" ht="23.25" customHeight="1" x14ac:dyDescent="0.25">
      <c r="A43" s="25" t="s">
        <v>278</v>
      </c>
      <c r="B43" s="32" t="s">
        <v>506</v>
      </c>
      <c r="C43" s="30"/>
      <c r="D43" s="6">
        <f>SUMIFS('2.1. sz. PMH'!D43:AL43,'2.1. sz. PMH'!$D$5:$AL$5,"kötelező",'2.1. sz. PMH'!$D$3:$AL$3,"Eredeti előirányzat")+SUMIFS('2.2. sz. Hétszínvirág Óvoda'!D43:Z43,'2.2. sz. Hétszínvirág Óvoda'!$D$5:$Z$5,"kötelező",'2.2. sz. Hétszínvirág Óvoda'!$D$3:$Z$3,"Eredeti előirányzat")+SUMIFS('2.3. sz. Mese Óvoda'!D43:T43,'2.3. sz. Mese Óvoda'!$D$5:$T$5,"kötelező",'2.3. sz. Mese Óvoda'!$D$3:$T$3,"Eredeti előirányzat")+SUMIFS('2.4. sz. Bölcsőde'!D43:Q43,'2.4. sz. Bölcsőde'!$D$5:$Q$5,"kötelező",'2.4. sz. Bölcsőde'!$D$3:$Q$3,"Eredeti előirányzat")+SUMIFS('2.5. sz. Gyermekjóléti'!D43:W43,'2.5. sz. Gyermekjóléti'!$D$5:$W$5,"kötelező",'2.5. sz. Gyermekjóléti'!$D$3:$W$3,"Eredeti előirányzat")+SUMIFS('2.6 sz. Területi'!D43:BG43,'2.6 sz. Területi'!$D$5:$BG$5,"kötelező",'2.6 sz. Területi'!$D$3:$BG$3,"Eredeti előirányzat")+SUMIFS('2.7. sz. Könyvtár'!D43:Z43,'2.7. sz. Könyvtár'!$D$5:$Z$5,"kötelező",'2.7. sz. Könyvtár'!$D$3:$Z$3,"Eredeti előirányzat")+SUMIFS('2.8. sz. Műv.Ház'!D43:Z43,'2.8. sz. Műv.Ház'!$D$5:$Z$5,"kötelező",'2.8. sz. Műv.Ház'!$D$3:$Z$3,"Eredeti előirányzat")+SUMIFS('2.9. sz. Szivárvány Ó.'!D43:W43,'2.9. sz. Szivárvány Ó.'!$D$5:$W$5,"kötelező",'2.9. sz. Szivárvány Ó.'!$D$3:$W$3,"Eredeti előirányzat")</f>
        <v>3513510223</v>
      </c>
      <c r="E43" s="6">
        <f>+'2.1. sz. PMH'!E43+'2.1. sz. PMH'!H43+'2.1. sz. PMH'!W43+'2.1. sz. PMH'!AL43+'2.2. sz. Hétszínvirág Óvoda'!E43+'2.2. sz. Hétszínvirág Óvoda'!H43+'2.2. sz. Hétszínvirág Óvoda'!K43+'2.2. sz. Hétszínvirág Óvoda'!N43+'2.2. sz. Hétszínvirág Óvoda'!Q43+'2.2. sz. Hétszínvirág Óvoda'!T43+'2.2. sz. Hétszínvirág Óvoda'!W43+'2.2. sz. Hétszínvirág Óvoda'!Z43+'2.3. sz. Mese Óvoda'!E43+'2.3. sz. Mese Óvoda'!H43+'2.3. sz. Mese Óvoda'!K43+'2.3. sz. Mese Óvoda'!N43+'2.3. sz. Mese Óvoda'!Q43+'2.3. sz. Mese Óvoda'!T43+'2.4. sz. Bölcsőde'!E43+'2.4. sz. Bölcsőde'!H43+'2.4. sz. Bölcsőde'!K43+'2.4. sz. Bölcsőde'!N43+'2.4. sz. Bölcsőde'!Q43+'2.5. sz. Gyermekjóléti'!E43+'2.5. sz. Gyermekjóléti'!H43+'2.5. sz. Gyermekjóléti'!K43+'2.5. sz. Gyermekjóléti'!N43+'2.5. sz. Gyermekjóléti'!Q43+'2.5. sz. Gyermekjóléti'!T43+'2.5. sz. Gyermekjóléti'!W43+'2.6 sz. Területi'!E43+'2.6 sz. Területi'!H43+'2.6 sz. Területi'!K43+'2.6 sz. Területi'!T43+'2.6 sz. Területi'!W43+'2.6 sz. Területi'!AI43+'2.6 sz. Területi'!AL43+'2.6 sz. Területi'!AO43+'2.6 sz. Területi'!AR43+'2.6 sz. Területi'!AU43+'2.6 sz. Területi'!AX43+'2.6 sz. Területi'!BA43+'2.6 sz. Területi'!BD43+'2.6 sz. Területi'!BG43+'2.7. sz. Könyvtár'!E43+'2.7. sz. Könyvtár'!H43+'2.7. sz. Könyvtár'!K43+'2.7. sz. Könyvtár'!N43+'2.7. sz. Könyvtár'!Q43+'2.7. sz. Könyvtár'!T43+'2.7. sz. Könyvtár'!W43+'2.7. sz. Könyvtár'!Z43+'2.8. sz. Műv.Ház'!E43+'2.8. sz. Műv.Ház'!H43+'2.8. sz. Műv.Ház'!K43+'2.8. sz. Műv.Ház'!Q43+'2.8. sz. Műv.Ház'!T43+'2.8. sz. Műv.Ház'!W43+'2.8. sz. Műv.Ház'!Z43+'2.9. sz. Szivárvány Ó.'!E43+'2.9. sz. Szivárvány Ó.'!H43+'2.9. sz. Szivárvány Ó.'!K43+'2.9. sz. Szivárvány Ó.'!N43+'2.9. sz. Szivárvány Ó.'!Q43+'2.9. sz. Szivárvány Ó.'!T43+'2.9. sz. Szivárvány Ó.'!W43</f>
        <v>3686246941</v>
      </c>
      <c r="F43" s="6">
        <f>+'2.1. sz. PMH'!AQ43+'2.2. sz. Hétszínvirág Óvoda'!AD43+'2.3. sz. Mese Óvoda'!X43+'2.4. sz. Bölcsőde'!U43+'2.5. sz. Gyermekjóléti'!AA43+'2.6 sz. Területi'!BL43+'2.7. sz. Könyvtár'!AD43+'2.8. sz. Műv.Ház'!AE43+'2.9. sz. Szivárvány Ó.'!AA43</f>
        <v>3124258948</v>
      </c>
      <c r="G43" s="6">
        <f>SUMIFS('2.1. sz. PMH'!D43:AL43,'2.1. sz. PMH'!$D$5:$AL$5,"önként vállalt",'2.1. sz. PMH'!$D$3:$AL$3,"Eredeti előirányzat")+SUMIFS('2.2. sz. Hétszínvirág Óvoda'!D43:Z43,'2.2. sz. Hétszínvirág Óvoda'!$D$5:$Z$5,"önként vállalt",'2.2. sz. Hétszínvirág Óvoda'!$D$3:$Z$3,"Eredeti előirányzat")+SUMIFS('2.3. sz. Mese Óvoda'!D43:T43,'2.3. sz. Mese Óvoda'!$D$5:$T$5,"önként vállalt",'2.3. sz. Mese Óvoda'!$D$3:$T$3,"Eredeti előirányzat")+SUMIFS('2.4. sz. Bölcsőde'!D43:Q43,'2.4. sz. Bölcsőde'!$D$5:$Q$5,"önként vállalt",'2.4. sz. Bölcsőde'!$D$3:$Q$3,"Eredeti előirányzat")+SUMIFS('2.5. sz. Gyermekjóléti'!D43:W43,'2.5. sz. Gyermekjóléti'!$D$5:$W$5,"önként vállalt",'2.5. sz. Gyermekjóléti'!$D$3:$W$3,"Eredeti előirányzat")+SUMIFS('2.6 sz. Területi'!D43:BG43,'2.6 sz. Területi'!$D$5:$BG$5,"önként vállalt",'2.6 sz. Területi'!$D$3:$BG$3,"Eredeti előirányzat")+SUMIFS('2.7. sz. Könyvtár'!D43:Z43,'2.7. sz. Könyvtár'!$D$5:$Z$5,"önként vállalt",'2.7. sz. Könyvtár'!$D$3:$Z$3,"Eredeti előirányzat")+SUMIFS('2.8. sz. Műv.Ház'!D43:Z43,'2.8. sz. Műv.Ház'!$D$5:$Z$5,"önként vállalt",'2.8. sz. Műv.Ház'!$D$3:$Z$3,"Eredeti előirányzat")+SUMIFS('2.9. sz. Szivárvány Ó.'!D43:W43,'2.9. sz. Szivárvány Ó.'!$D$5:$W$5,"önként vállalt",'2.9. sz. Szivárvány Ó.'!$D$3:$W$3,"Eredeti előirányzat")</f>
        <v>0</v>
      </c>
      <c r="H43" s="6">
        <f>+'2.6 sz. Területi'!N43+'2.6 sz. Területi'!Q43+'2.6 sz. Területi'!Z43+'2.6 sz. Területi'!AC43+'2.6 sz. Területi'!AF43+'2.8. sz. Műv.Ház'!N43</f>
        <v>0</v>
      </c>
      <c r="I43" s="6">
        <f>+'2.6 sz. Területi'!BM43+'2.8. sz. Műv.Ház'!AF43</f>
        <v>0</v>
      </c>
      <c r="J43" s="6">
        <f>SUMIFS('2.1. sz. PMH'!D43:AL43,'2.1. sz. PMH'!$D$5:$AL$5,"államigazgatási",'2.1. sz. PMH'!$D$3:$AL$3,"Eredeti előirányzat")+SUMIFS('2.2. sz. Hétszínvirág Óvoda'!D43:Z43,'2.2. sz. Hétszínvirág Óvoda'!$D$5:$Z$5,"államigazgatási",'2.2. sz. Hétszínvirág Óvoda'!$D$3:$Z$3,"Eredeti előirányzat")+SUMIFS('2.3. sz. Mese Óvoda'!D43:T43,'2.3. sz. Mese Óvoda'!$D$5:$T$5,"államigazgatási",'2.3. sz. Mese Óvoda'!$D$3:$T$3,"Eredeti előirányzat")+SUMIFS('2.4. sz. Bölcsőde'!D43:Q43,'2.4. sz. Bölcsőde'!$D$5:$Q$5,"államigazgatási",'2.4. sz. Bölcsőde'!$D$3:$Q$3,"Eredeti előirányzat")+SUMIFS('2.5. sz. Gyermekjóléti'!D43:W43,'2.5. sz. Gyermekjóléti'!$D$5:$W$5,"államigazgatási",'2.5. sz. Gyermekjóléti'!$D$3:$W$3,"Eredeti előirányzat")+SUMIFS('2.6 sz. Területi'!D43:BG43,'2.6 sz. Területi'!$D$5:$BG$5,"államigazgatási",'2.6 sz. Területi'!$D$3:$BG$3,"Eredeti előirányzat")+SUMIFS('2.7. sz. Könyvtár'!D43:Z43,'2.7. sz. Könyvtár'!$D$5:$Z$5,"államigazgatási",'2.7. sz. Könyvtár'!$D$3:$Z$3,"Eredeti előirányzat")+SUMIFS('2.8. sz. Műv.Ház'!D43:Z43,'2.8. sz. Műv.Ház'!$D$5:$Z$5,"államigazgatási",'2.8. sz. Műv.Ház'!$D$3:$Z$3,"Eredeti előirányzat")+SUMIFS('2.9. sz. Szivárvány Ó.'!D43:W43,'2.9. sz. Szivárvány Ó.'!$D$5:$W$5,"államigazgatási",'2.9. sz. Szivárvány Ó.'!$D$3:$W$3,"Eredeti előirányzat")</f>
        <v>0</v>
      </c>
      <c r="K43" s="6">
        <f>+'2.1. sz. PMH'!K43+'2.1. sz. PMH'!N43+'2.1. sz. PMH'!Q43+'2.1. sz. PMH'!T43+'2.1. sz. PMH'!Z43+'2.1. sz. PMH'!AC43+'2.1. sz. PMH'!AF43+'2.1. sz. PMH'!AI43</f>
        <v>0</v>
      </c>
      <c r="L43" s="6">
        <f>+'2.1. sz. PMH'!AS43</f>
        <v>0</v>
      </c>
      <c r="M43" s="6">
        <f t="shared" si="0"/>
        <v>3513510223</v>
      </c>
      <c r="N43" s="569">
        <f t="shared" si="1"/>
        <v>3686246941</v>
      </c>
      <c r="O43" s="569">
        <f t="shared" si="2"/>
        <v>3124258948</v>
      </c>
      <c r="P43" s="80">
        <f>+M43+M44</f>
        <v>3575792043</v>
      </c>
      <c r="Q43" s="19">
        <f>+'2.1. sz. PMH'!AP43+'2.2. sz. Hétszínvirág Óvoda'!AD43+'2.3. sz. Mese Óvoda'!X43+'2.4. sz. Bölcsőde'!U43+'2.5. sz. Gyermekjóléti'!AA43+'2.6 sz. Területi'!BK43+'2.7. sz. Könyvtár'!AD43+'2.8. sz. Műv.Ház'!AD43+'2.9. sz. Szivárvány Ó.'!AA43</f>
        <v>3124258948</v>
      </c>
      <c r="R43" s="80">
        <f t="shared" si="3"/>
        <v>0</v>
      </c>
    </row>
    <row r="44" spans="1:18" ht="23.25" customHeight="1" x14ac:dyDescent="0.25">
      <c r="A44" s="25" t="s">
        <v>279</v>
      </c>
      <c r="B44" s="32" t="s">
        <v>590</v>
      </c>
      <c r="C44" s="30"/>
      <c r="D44" s="6">
        <f>SUMIFS('2.1. sz. PMH'!D44:AL44,'2.1. sz. PMH'!$D$5:$AL$5,"kötelező",'2.1. sz. PMH'!$D$3:$AL$3,"Eredeti előirányzat")+SUMIFS('2.2. sz. Hétszínvirág Óvoda'!D44:Z44,'2.2. sz. Hétszínvirág Óvoda'!$D$5:$Z$5,"kötelező",'2.2. sz. Hétszínvirág Óvoda'!$D$3:$Z$3,"Eredeti előirányzat")+SUMIFS('2.3. sz. Mese Óvoda'!D44:T44,'2.3. sz. Mese Óvoda'!$D$5:$T$5,"kötelező",'2.3. sz. Mese Óvoda'!$D$3:$T$3,"Eredeti előirányzat")+SUMIFS('2.4. sz. Bölcsőde'!D44:Q44,'2.4. sz. Bölcsőde'!$D$5:$Q$5,"kötelező",'2.4. sz. Bölcsőde'!$D$3:$Q$3,"Eredeti előirányzat")+SUMIFS('2.5. sz. Gyermekjóléti'!D44:W44,'2.5. sz. Gyermekjóléti'!$D$5:$W$5,"kötelező",'2.5. sz. Gyermekjóléti'!$D$3:$W$3,"Eredeti előirányzat")+SUMIFS('2.6 sz. Területi'!D44:BG44,'2.6 sz. Területi'!$D$5:$BG$5,"kötelező",'2.6 sz. Területi'!$D$3:$BG$3,"Eredeti előirányzat")+SUMIFS('2.7. sz. Könyvtár'!D44:Z44,'2.7. sz. Könyvtár'!$D$5:$Z$5,"kötelező",'2.7. sz. Könyvtár'!$D$3:$Z$3,"Eredeti előirányzat")+SUMIFS('2.8. sz. Műv.Ház'!D44:Z44,'2.8. sz. Műv.Ház'!$D$5:$Z$5,"kötelező",'2.8. sz. Műv.Ház'!$D$3:$Z$3,"Eredeti előirányzat")+SUMIFS('2.9. sz. Szivárvány Ó.'!D44:W44,'2.9. sz. Szivárvány Ó.'!$D$5:$W$5,"kötelező",'2.9. sz. Szivárvány Ó.'!$D$3:$W$3,"Eredeti előirányzat")</f>
        <v>62281820</v>
      </c>
      <c r="E44" s="6">
        <f>+'2.1. sz. PMH'!E44+'2.1. sz. PMH'!H44+'2.1. sz. PMH'!W44+'2.1. sz. PMH'!AL44+'2.2. sz. Hétszínvirág Óvoda'!E44+'2.2. sz. Hétszínvirág Óvoda'!H44+'2.2. sz. Hétszínvirág Óvoda'!K44+'2.2. sz. Hétszínvirág Óvoda'!N44+'2.2. sz. Hétszínvirág Óvoda'!Q44+'2.2. sz. Hétszínvirág Óvoda'!T44+'2.2. sz. Hétszínvirág Óvoda'!W44+'2.2. sz. Hétszínvirág Óvoda'!Z44+'2.3. sz. Mese Óvoda'!E44+'2.3. sz. Mese Óvoda'!H44+'2.3. sz. Mese Óvoda'!K44+'2.3. sz. Mese Óvoda'!N44+'2.3. sz. Mese Óvoda'!Q44+'2.3. sz. Mese Óvoda'!T44+'2.4. sz. Bölcsőde'!E44+'2.4. sz. Bölcsőde'!H44+'2.4. sz. Bölcsőde'!K44+'2.4. sz. Bölcsőde'!N44+'2.4. sz. Bölcsőde'!Q44+'2.5. sz. Gyermekjóléti'!E44+'2.5. sz. Gyermekjóléti'!H44+'2.5. sz. Gyermekjóléti'!K44+'2.5. sz. Gyermekjóléti'!N44+'2.5. sz. Gyermekjóléti'!Q44+'2.5. sz. Gyermekjóléti'!T44+'2.5. sz. Gyermekjóléti'!W44+'2.6 sz. Területi'!E44+'2.6 sz. Területi'!H44+'2.6 sz. Területi'!K44+'2.6 sz. Területi'!T44+'2.6 sz. Területi'!W44+'2.6 sz. Területi'!AI44+'2.6 sz. Területi'!AL44+'2.6 sz. Területi'!AO44+'2.6 sz. Területi'!AR44+'2.6 sz. Területi'!AU44+'2.6 sz. Területi'!AX44+'2.6 sz. Területi'!BA44+'2.6 sz. Területi'!BD44+'2.6 sz. Területi'!BG44+'2.7. sz. Könyvtár'!E44+'2.7. sz. Könyvtár'!H44+'2.7. sz. Könyvtár'!K44+'2.7. sz. Könyvtár'!N44+'2.7. sz. Könyvtár'!Q44+'2.7. sz. Könyvtár'!T44+'2.7. sz. Könyvtár'!W44+'2.7. sz. Könyvtár'!Z44+'2.8. sz. Műv.Ház'!E44+'2.8. sz. Műv.Ház'!H44+'2.8. sz. Műv.Ház'!K44+'2.8. sz. Műv.Ház'!Q44+'2.8. sz. Műv.Ház'!T44+'2.8. sz. Műv.Ház'!W44+'2.8. sz. Műv.Ház'!Z44+'2.9. sz. Szivárvány Ó.'!E44+'2.9. sz. Szivárvány Ó.'!H44+'2.9. sz. Szivárvány Ó.'!K44+'2.9. sz. Szivárvány Ó.'!N44+'2.9. sz. Szivárvány Ó.'!Q44+'2.9. sz. Szivárvány Ó.'!T44+'2.9. sz. Szivárvány Ó.'!W44</f>
        <v>98501338</v>
      </c>
      <c r="F44" s="6">
        <f>+'2.1. sz. PMH'!AQ44+'2.2. sz. Hétszínvirág Óvoda'!AD44+'2.3. sz. Mese Óvoda'!X44+'2.4. sz. Bölcsőde'!U44+'2.5. sz. Gyermekjóléti'!AA44+'2.6 sz. Területi'!BL44+'2.7. sz. Könyvtár'!AD44+'2.8. sz. Műv.Ház'!AE44+'2.9. sz. Szivárvány Ó.'!AA44</f>
        <v>98501338</v>
      </c>
      <c r="G44" s="6">
        <f>SUMIFS('2.1. sz. PMH'!D44:AL44,'2.1. sz. PMH'!$D$5:$AL$5,"önként vállalt",'2.1. sz. PMH'!$D$3:$AL$3,"Eredeti előirányzat")+SUMIFS('2.2. sz. Hétszínvirág Óvoda'!D44:Z44,'2.2. sz. Hétszínvirág Óvoda'!$D$5:$Z$5,"önként vállalt",'2.2. sz. Hétszínvirág Óvoda'!$D$3:$Z$3,"Eredeti előirányzat")+SUMIFS('2.3. sz. Mese Óvoda'!D44:T44,'2.3. sz. Mese Óvoda'!$D$5:$T$5,"önként vállalt",'2.3. sz. Mese Óvoda'!$D$3:$T$3,"Eredeti előirányzat")+SUMIFS('2.4. sz. Bölcsőde'!D44:Q44,'2.4. sz. Bölcsőde'!$D$5:$Q$5,"önként vállalt",'2.4. sz. Bölcsőde'!$D$3:$Q$3,"Eredeti előirányzat")+SUMIFS('2.5. sz. Gyermekjóléti'!D44:W44,'2.5. sz. Gyermekjóléti'!$D$5:$W$5,"önként vállalt",'2.5. sz. Gyermekjóléti'!$D$3:$W$3,"Eredeti előirányzat")+SUMIFS('2.6 sz. Területi'!D44:BG44,'2.6 sz. Területi'!$D$5:$BG$5,"önként vállalt",'2.6 sz. Területi'!$D$3:$BG$3,"Eredeti előirányzat")+SUMIFS('2.7. sz. Könyvtár'!D44:Z44,'2.7. sz. Könyvtár'!$D$5:$Z$5,"önként vállalt",'2.7. sz. Könyvtár'!$D$3:$Z$3,"Eredeti előirányzat")+SUMIFS('2.8. sz. Műv.Ház'!D44:Z44,'2.8. sz. Műv.Ház'!$D$5:$Z$5,"önként vállalt",'2.8. sz. Műv.Ház'!$D$3:$Z$3,"Eredeti előirányzat")+SUMIFS('2.9. sz. Szivárvány Ó.'!D44:W44,'2.9. sz. Szivárvány Ó.'!$D$5:$W$5,"önként vállalt",'2.9. sz. Szivárvány Ó.'!$D$3:$W$3,"Eredeti előirányzat")</f>
        <v>0</v>
      </c>
      <c r="H44" s="6">
        <f>+'2.6 sz. Területi'!N44+'2.6 sz. Területi'!Q44+'2.6 sz. Területi'!Z44+'2.6 sz. Területi'!AC44+'2.6 sz. Területi'!AF44+'2.8. sz. Műv.Ház'!N44</f>
        <v>0</v>
      </c>
      <c r="I44" s="6">
        <f>+'2.6 sz. Területi'!BM44+'2.8. sz. Műv.Ház'!AF44</f>
        <v>0</v>
      </c>
      <c r="J44" s="6">
        <f>SUMIFS('2.1. sz. PMH'!D44:AL44,'2.1. sz. PMH'!$D$5:$AL$5,"államigazgatási",'2.1. sz. PMH'!$D$3:$AL$3,"Eredeti előirányzat")+SUMIFS('2.2. sz. Hétszínvirág Óvoda'!D44:Z44,'2.2. sz. Hétszínvirág Óvoda'!$D$5:$Z$5,"államigazgatási",'2.2. sz. Hétszínvirág Óvoda'!$D$3:$Z$3,"Eredeti előirányzat")+SUMIFS('2.3. sz. Mese Óvoda'!D44:T44,'2.3. sz. Mese Óvoda'!$D$5:$T$5,"államigazgatási",'2.3. sz. Mese Óvoda'!$D$3:$T$3,"Eredeti előirányzat")+SUMIFS('2.4. sz. Bölcsőde'!D44:Q44,'2.4. sz. Bölcsőde'!$D$5:$Q$5,"államigazgatási",'2.4. sz. Bölcsőde'!$D$3:$Q$3,"Eredeti előirányzat")+SUMIFS('2.5. sz. Gyermekjóléti'!D44:W44,'2.5. sz. Gyermekjóléti'!$D$5:$W$5,"államigazgatási",'2.5. sz. Gyermekjóléti'!$D$3:$W$3,"Eredeti előirányzat")+SUMIFS('2.6 sz. Területi'!D44:BG44,'2.6 sz. Területi'!$D$5:$BG$5,"államigazgatási",'2.6 sz. Területi'!$D$3:$BG$3,"Eredeti előirányzat")+SUMIFS('2.7. sz. Könyvtár'!D44:Z44,'2.7. sz. Könyvtár'!$D$5:$Z$5,"államigazgatási",'2.7. sz. Könyvtár'!$D$3:$Z$3,"Eredeti előirányzat")+SUMIFS('2.8. sz. Műv.Ház'!D44:Z44,'2.8. sz. Műv.Ház'!$D$5:$Z$5,"államigazgatási",'2.8. sz. Műv.Ház'!$D$3:$Z$3,"Eredeti előirányzat")+SUMIFS('2.9. sz. Szivárvány Ó.'!D44:W44,'2.9. sz. Szivárvány Ó.'!$D$5:$W$5,"államigazgatási",'2.9. sz. Szivárvány Ó.'!$D$3:$W$3,"Eredeti előirányzat")</f>
        <v>0</v>
      </c>
      <c r="K44" s="6">
        <f>+'2.1. sz. PMH'!K44+'2.1. sz. PMH'!N44+'2.1. sz. PMH'!Q44+'2.1. sz. PMH'!T44+'2.1. sz. PMH'!Z44+'2.1. sz. PMH'!AC44+'2.1. sz. PMH'!AF44+'2.1. sz. PMH'!AI44</f>
        <v>0</v>
      </c>
      <c r="L44" s="6">
        <f>+'2.1. sz. PMH'!AS44</f>
        <v>0</v>
      </c>
      <c r="M44" s="6">
        <f t="shared" si="0"/>
        <v>62281820</v>
      </c>
      <c r="N44" s="569">
        <f t="shared" si="1"/>
        <v>98501338</v>
      </c>
      <c r="O44" s="569">
        <f t="shared" si="2"/>
        <v>98501338</v>
      </c>
      <c r="Q44" s="19">
        <f>+'2.1. sz. PMH'!AP44+'2.2. sz. Hétszínvirág Óvoda'!AD44+'2.3. sz. Mese Óvoda'!X44+'2.4. sz. Bölcsőde'!U44+'2.5. sz. Gyermekjóléti'!AA44+'2.6 sz. Területi'!BK44+'2.7. sz. Könyvtár'!AD44+'2.8. sz. Műv.Ház'!AD44+'2.9. sz. Szivárvány Ó.'!AA44</f>
        <v>98501338</v>
      </c>
      <c r="R44" s="80">
        <f t="shared" si="3"/>
        <v>0</v>
      </c>
    </row>
    <row r="45" spans="1:18" ht="23.25" customHeight="1" x14ac:dyDescent="0.25">
      <c r="A45" s="25" t="s">
        <v>280</v>
      </c>
      <c r="B45" s="32" t="s">
        <v>542</v>
      </c>
      <c r="C45" s="30"/>
      <c r="D45" s="6">
        <f>SUMIFS('2.1. sz. PMH'!D45:AL45,'2.1. sz. PMH'!$D$5:$AL$5,"kötelező",'2.1. sz. PMH'!$D$3:$AL$3,"Eredeti előirányzat")+SUMIFS('2.2. sz. Hétszínvirág Óvoda'!D45:Z45,'2.2. sz. Hétszínvirág Óvoda'!$D$5:$Z$5,"kötelező",'2.2. sz. Hétszínvirág Óvoda'!$D$3:$Z$3,"Eredeti előirányzat")+SUMIFS('2.3. sz. Mese Óvoda'!D45:T45,'2.3. sz. Mese Óvoda'!$D$5:$T$5,"kötelező",'2.3. sz. Mese Óvoda'!$D$3:$T$3,"Eredeti előirányzat")+SUMIFS('2.4. sz. Bölcsőde'!D45:Q45,'2.4. sz. Bölcsőde'!$D$5:$Q$5,"kötelező",'2.4. sz. Bölcsőde'!$D$3:$Q$3,"Eredeti előirányzat")+SUMIFS('2.5. sz. Gyermekjóléti'!D45:W45,'2.5. sz. Gyermekjóléti'!$D$5:$W$5,"kötelező",'2.5. sz. Gyermekjóléti'!$D$3:$W$3,"Eredeti előirányzat")+SUMIFS('2.6 sz. Területi'!D45:BG45,'2.6 sz. Területi'!$D$5:$BG$5,"kötelező",'2.6 sz. Területi'!$D$3:$BG$3,"Eredeti előirányzat")+SUMIFS('2.7. sz. Könyvtár'!D45:Z45,'2.7. sz. Könyvtár'!$D$5:$Z$5,"kötelező",'2.7. sz. Könyvtár'!$D$3:$Z$3,"Eredeti előirányzat")+SUMIFS('2.8. sz. Műv.Ház'!D45:Z45,'2.8. sz. Műv.Ház'!$D$5:$Z$5,"kötelező",'2.8. sz. Műv.Ház'!$D$3:$Z$3,"Eredeti előirányzat")+SUMIFS('2.9. sz. Szivárvány Ó.'!D45:W45,'2.9. sz. Szivárvány Ó.'!$D$5:$W$5,"kötelező",'2.9. sz. Szivárvány Ó.'!$D$3:$W$3,"Eredeti előirányzat")</f>
        <v>0</v>
      </c>
      <c r="E45" s="6">
        <f>+'2.1. sz. PMH'!E45+'2.1. sz. PMH'!H45+'2.1. sz. PMH'!W45+'2.1. sz. PMH'!AL45+'2.2. sz. Hétszínvirág Óvoda'!E45+'2.2. sz. Hétszínvirág Óvoda'!H45+'2.2. sz. Hétszínvirág Óvoda'!K45+'2.2. sz. Hétszínvirág Óvoda'!N45+'2.2. sz. Hétszínvirág Óvoda'!Q45+'2.2. sz. Hétszínvirág Óvoda'!T45+'2.2. sz. Hétszínvirág Óvoda'!W45+'2.2. sz. Hétszínvirág Óvoda'!Z45+'2.3. sz. Mese Óvoda'!E45+'2.3. sz. Mese Óvoda'!H45+'2.3. sz. Mese Óvoda'!K45+'2.3. sz. Mese Óvoda'!N45+'2.3. sz. Mese Óvoda'!Q45+'2.3. sz. Mese Óvoda'!T45+'2.4. sz. Bölcsőde'!E45+'2.4. sz. Bölcsőde'!H45+'2.4. sz. Bölcsőde'!K45+'2.4. sz. Bölcsőde'!N45+'2.4. sz. Bölcsőde'!Q45+'2.5. sz. Gyermekjóléti'!E45+'2.5. sz. Gyermekjóléti'!H45+'2.5. sz. Gyermekjóléti'!K45+'2.5. sz. Gyermekjóléti'!N45+'2.5. sz. Gyermekjóléti'!Q45+'2.5. sz. Gyermekjóléti'!T45+'2.5. sz. Gyermekjóléti'!W45+'2.6 sz. Területi'!E45+'2.6 sz. Területi'!H45+'2.6 sz. Területi'!K45+'2.6 sz. Területi'!T45+'2.6 sz. Területi'!W45+'2.6 sz. Területi'!AI45+'2.6 sz. Területi'!AL45+'2.6 sz. Területi'!AO45+'2.6 sz. Területi'!AR45+'2.6 sz. Területi'!AU45+'2.6 sz. Területi'!AX45+'2.6 sz. Területi'!BA45+'2.6 sz. Területi'!BD45+'2.6 sz. Területi'!BG45+'2.7. sz. Könyvtár'!E45+'2.7. sz. Könyvtár'!H45+'2.7. sz. Könyvtár'!K45+'2.7. sz. Könyvtár'!N45+'2.7. sz. Könyvtár'!Q45+'2.7. sz. Könyvtár'!T45+'2.7. sz. Könyvtár'!W45+'2.7. sz. Könyvtár'!Z45+'2.8. sz. Műv.Ház'!E45+'2.8. sz. Műv.Ház'!H45+'2.8. sz. Műv.Ház'!K45+'2.8. sz. Műv.Ház'!Q45+'2.8. sz. Műv.Ház'!T45+'2.8. sz. Műv.Ház'!W45+'2.8. sz. Műv.Ház'!Z45+'2.9. sz. Szivárvány Ó.'!E45+'2.9. sz. Szivárvány Ó.'!H45+'2.9. sz. Szivárvány Ó.'!K45+'2.9. sz. Szivárvány Ó.'!N45+'2.9. sz. Szivárvány Ó.'!Q45+'2.9. sz. Szivárvány Ó.'!T45+'2.9. sz. Szivárvány Ó.'!W45</f>
        <v>0</v>
      </c>
      <c r="F45" s="6">
        <f>+'2.1. sz. PMH'!AQ45+'2.2. sz. Hétszínvirág Óvoda'!AD45+'2.3. sz. Mese Óvoda'!X45+'2.4. sz. Bölcsőde'!U45+'2.5. sz. Gyermekjóléti'!AA45+'2.6 sz. Területi'!BL45+'2.7. sz. Könyvtár'!AD45+'2.8. sz. Műv.Ház'!AE45+'2.9. sz. Szivárvány Ó.'!AA45</f>
        <v>0</v>
      </c>
      <c r="G45" s="6">
        <f>SUMIFS('2.1. sz. PMH'!D45:AL45,'2.1. sz. PMH'!$D$5:$AL$5,"önként vállalt",'2.1. sz. PMH'!$D$3:$AL$3,"Eredeti előirányzat")+SUMIFS('2.2. sz. Hétszínvirág Óvoda'!D45:Z45,'2.2. sz. Hétszínvirág Óvoda'!$D$5:$Z$5,"önként vállalt",'2.2. sz. Hétszínvirág Óvoda'!$D$3:$Z$3,"Eredeti előirányzat")+SUMIFS('2.3. sz. Mese Óvoda'!D45:T45,'2.3. sz. Mese Óvoda'!$D$5:$T$5,"önként vállalt",'2.3. sz. Mese Óvoda'!$D$3:$T$3,"Eredeti előirányzat")+SUMIFS('2.4. sz. Bölcsőde'!D45:Q45,'2.4. sz. Bölcsőde'!$D$5:$Q$5,"önként vállalt",'2.4. sz. Bölcsőde'!$D$3:$Q$3,"Eredeti előirányzat")+SUMIFS('2.5. sz. Gyermekjóléti'!D45:W45,'2.5. sz. Gyermekjóléti'!$D$5:$W$5,"önként vállalt",'2.5. sz. Gyermekjóléti'!$D$3:$W$3,"Eredeti előirányzat")+SUMIFS('2.6 sz. Területi'!D45:BG45,'2.6 sz. Területi'!$D$5:$BG$5,"önként vállalt",'2.6 sz. Területi'!$D$3:$BG$3,"Eredeti előirányzat")+SUMIFS('2.7. sz. Könyvtár'!D45:Z45,'2.7. sz. Könyvtár'!$D$5:$Z$5,"önként vállalt",'2.7. sz. Könyvtár'!$D$3:$Z$3,"Eredeti előirányzat")+SUMIFS('2.8. sz. Műv.Ház'!D45:Z45,'2.8. sz. Műv.Ház'!$D$5:$Z$5,"önként vállalt",'2.8. sz. Műv.Ház'!$D$3:$Z$3,"Eredeti előirányzat")+SUMIFS('2.9. sz. Szivárvány Ó.'!D45:W45,'2.9. sz. Szivárvány Ó.'!$D$5:$W$5,"önként vállalt",'2.9. sz. Szivárvány Ó.'!$D$3:$W$3,"Eredeti előirányzat")</f>
        <v>0</v>
      </c>
      <c r="H45" s="6">
        <f>+'2.6 sz. Területi'!N45+'2.6 sz. Területi'!Q45+'2.6 sz. Területi'!Z45+'2.6 sz. Területi'!AC45+'2.6 sz. Területi'!AF45+'2.8. sz. Műv.Ház'!N45</f>
        <v>0</v>
      </c>
      <c r="I45" s="6">
        <f>+'2.6 sz. Területi'!BM45+'2.8. sz. Műv.Ház'!AF45</f>
        <v>0</v>
      </c>
      <c r="J45" s="6">
        <f>SUMIFS('2.1. sz. PMH'!D45:AL45,'2.1. sz. PMH'!$D$5:$AL$5,"államigazgatási",'2.1. sz. PMH'!$D$3:$AL$3,"Eredeti előirányzat")+SUMIFS('2.2. sz. Hétszínvirág Óvoda'!D45:Z45,'2.2. sz. Hétszínvirág Óvoda'!$D$5:$Z$5,"államigazgatási",'2.2. sz. Hétszínvirág Óvoda'!$D$3:$Z$3,"Eredeti előirányzat")+SUMIFS('2.3. sz. Mese Óvoda'!D45:T45,'2.3. sz. Mese Óvoda'!$D$5:$T$5,"államigazgatási",'2.3. sz. Mese Óvoda'!$D$3:$T$3,"Eredeti előirányzat")+SUMIFS('2.4. sz. Bölcsőde'!D45:Q45,'2.4. sz. Bölcsőde'!$D$5:$Q$5,"államigazgatási",'2.4. sz. Bölcsőde'!$D$3:$Q$3,"Eredeti előirányzat")+SUMIFS('2.5. sz. Gyermekjóléti'!D45:W45,'2.5. sz. Gyermekjóléti'!$D$5:$W$5,"államigazgatási",'2.5. sz. Gyermekjóléti'!$D$3:$W$3,"Eredeti előirányzat")+SUMIFS('2.6 sz. Területi'!D45:BG45,'2.6 sz. Területi'!$D$5:$BG$5,"államigazgatási",'2.6 sz. Területi'!$D$3:$BG$3,"Eredeti előirányzat")+SUMIFS('2.7. sz. Könyvtár'!D45:Z45,'2.7. sz. Könyvtár'!$D$5:$Z$5,"államigazgatási",'2.7. sz. Könyvtár'!$D$3:$Z$3,"Eredeti előirányzat")+SUMIFS('2.8. sz. Műv.Ház'!D45:Z45,'2.8. sz. Műv.Ház'!$D$5:$Z$5,"államigazgatási",'2.8. sz. Műv.Ház'!$D$3:$Z$3,"Eredeti előirányzat")+SUMIFS('2.9. sz. Szivárvány Ó.'!D45:W45,'2.9. sz. Szivárvány Ó.'!$D$5:$W$5,"államigazgatási",'2.9. sz. Szivárvány Ó.'!$D$3:$W$3,"Eredeti előirányzat")</f>
        <v>0</v>
      </c>
      <c r="K45" s="6">
        <f>+'2.1. sz. PMH'!K45+'2.1. sz. PMH'!N45+'2.1. sz. PMH'!Q45+'2.1. sz. PMH'!T45+'2.1. sz. PMH'!Z45+'2.1. sz. PMH'!AC45+'2.1. sz. PMH'!AF45+'2.1. sz. PMH'!AI45</f>
        <v>0</v>
      </c>
      <c r="L45" s="6">
        <f>+'2.1. sz. PMH'!AS45</f>
        <v>0</v>
      </c>
      <c r="M45" s="6">
        <f t="shared" si="0"/>
        <v>0</v>
      </c>
      <c r="N45" s="569">
        <f t="shared" si="1"/>
        <v>0</v>
      </c>
      <c r="O45" s="569">
        <f t="shared" si="2"/>
        <v>0</v>
      </c>
      <c r="Q45" s="19">
        <f>+'2.1. sz. PMH'!AP45+'2.2. sz. Hétszínvirág Óvoda'!AD45+'2.3. sz. Mese Óvoda'!X45+'2.4. sz. Bölcsőde'!U45+'2.5. sz. Gyermekjóléti'!AA45+'2.6 sz. Területi'!BK45+'2.7. sz. Könyvtár'!AD45+'2.8. sz. Műv.Ház'!AD45+'2.9. sz. Szivárvány Ó.'!AA45</f>
        <v>0</v>
      </c>
      <c r="R45" s="80">
        <f t="shared" si="3"/>
        <v>0</v>
      </c>
    </row>
    <row r="46" spans="1:18" ht="23.25" customHeight="1" x14ac:dyDescent="0.25">
      <c r="A46" s="25" t="s">
        <v>281</v>
      </c>
      <c r="B46" s="32" t="s">
        <v>741</v>
      </c>
      <c r="C46" s="30"/>
      <c r="D46" s="6">
        <f>SUMIFS('2.1. sz. PMH'!D46:AL46,'2.1. sz. PMH'!$D$5:$AL$5,"kötelező",'2.1. sz. PMH'!$D$3:$AL$3,"Eredeti előirányzat")+SUMIFS('2.2. sz. Hétszínvirág Óvoda'!D46:Z46,'2.2. sz. Hétszínvirág Óvoda'!$D$5:$Z$5,"kötelező",'2.2. sz. Hétszínvirág Óvoda'!$D$3:$Z$3,"Eredeti előirányzat")+SUMIFS('2.3. sz. Mese Óvoda'!D46:T46,'2.3. sz. Mese Óvoda'!$D$5:$T$5,"kötelező",'2.3. sz. Mese Óvoda'!$D$3:$T$3,"Eredeti előirányzat")+SUMIFS('2.4. sz. Bölcsőde'!D46:Q46,'2.4. sz. Bölcsőde'!$D$5:$Q$5,"kötelező",'2.4. sz. Bölcsőde'!$D$3:$Q$3,"Eredeti előirányzat")+SUMIFS('2.5. sz. Gyermekjóléti'!D46:W46,'2.5. sz. Gyermekjóléti'!$D$5:$W$5,"kötelező",'2.5. sz. Gyermekjóléti'!$D$3:$W$3,"Eredeti előirányzat")+SUMIFS('2.6 sz. Területi'!D46:BG46,'2.6 sz. Területi'!$D$5:$BG$5,"kötelező",'2.6 sz. Területi'!$D$3:$BG$3,"Eredeti előirányzat")+SUMIFS('2.7. sz. Könyvtár'!D46:Z46,'2.7. sz. Könyvtár'!$D$5:$Z$5,"kötelező",'2.7. sz. Könyvtár'!$D$3:$Z$3,"Eredeti előirányzat")+SUMIFS('2.8. sz. Műv.Ház'!D46:Z46,'2.8. sz. Műv.Ház'!$D$5:$Z$5,"kötelező",'2.8. sz. Műv.Ház'!$D$3:$Z$3,"Eredeti előirányzat")+SUMIFS('2.9. sz. Szivárvány Ó.'!D46:W46,'2.9. sz. Szivárvány Ó.'!$D$5:$W$5,"kötelező",'2.9. sz. Szivárvány Ó.'!$D$3:$W$3,"Eredeti előirányzat")</f>
        <v>0</v>
      </c>
      <c r="E46" s="6">
        <f>+'2.1. sz. PMH'!E46+'2.1. sz. PMH'!H46+'2.1. sz. PMH'!W46+'2.1. sz. PMH'!AL46+'2.2. sz. Hétszínvirág Óvoda'!E46+'2.2. sz. Hétszínvirág Óvoda'!H46+'2.2. sz. Hétszínvirág Óvoda'!K46+'2.2. sz. Hétszínvirág Óvoda'!N46+'2.2. sz. Hétszínvirág Óvoda'!Q46+'2.2. sz. Hétszínvirág Óvoda'!T46+'2.2. sz. Hétszínvirág Óvoda'!W46+'2.2. sz. Hétszínvirág Óvoda'!Z46+'2.3. sz. Mese Óvoda'!E46+'2.3. sz. Mese Óvoda'!H46+'2.3. sz. Mese Óvoda'!K46+'2.3. sz. Mese Óvoda'!N46+'2.3. sz. Mese Óvoda'!Q46+'2.3. sz. Mese Óvoda'!T46+'2.4. sz. Bölcsőde'!E46+'2.4. sz. Bölcsőde'!H46+'2.4. sz. Bölcsőde'!K46+'2.4. sz. Bölcsőde'!N46+'2.4. sz. Bölcsőde'!Q46+'2.5. sz. Gyermekjóléti'!E46+'2.5. sz. Gyermekjóléti'!H46+'2.5. sz. Gyermekjóléti'!K46+'2.5. sz. Gyermekjóléti'!N46+'2.5. sz. Gyermekjóléti'!Q46+'2.5. sz. Gyermekjóléti'!T46+'2.5. sz. Gyermekjóléti'!W46+'2.6 sz. Területi'!E46+'2.6 sz. Területi'!H46+'2.6 sz. Területi'!K46+'2.6 sz. Területi'!T46+'2.6 sz. Területi'!W46+'2.6 sz. Területi'!AI46+'2.6 sz. Területi'!AL46+'2.6 sz. Területi'!AO46+'2.6 sz. Területi'!AR46+'2.6 sz. Területi'!AU46+'2.6 sz. Területi'!AX46+'2.6 sz. Területi'!BA46+'2.6 sz. Területi'!BD46+'2.6 sz. Területi'!BG46+'2.7. sz. Könyvtár'!E46+'2.7. sz. Könyvtár'!H46+'2.7. sz. Könyvtár'!K46+'2.7. sz. Könyvtár'!N46+'2.7. sz. Könyvtár'!Q46+'2.7. sz. Könyvtár'!T46+'2.7. sz. Könyvtár'!W46+'2.7. sz. Könyvtár'!Z46+'2.8. sz. Műv.Ház'!E46+'2.8. sz. Műv.Ház'!H46+'2.8. sz. Műv.Ház'!K46+'2.8. sz. Műv.Ház'!Q46+'2.8. sz. Műv.Ház'!T46+'2.8. sz. Műv.Ház'!W46+'2.8. sz. Műv.Ház'!Z46+'2.9. sz. Szivárvány Ó.'!E46+'2.9. sz. Szivárvány Ó.'!H46+'2.9. sz. Szivárvány Ó.'!K46+'2.9. sz. Szivárvány Ó.'!N46+'2.9. sz. Szivárvány Ó.'!Q46+'2.9. sz. Szivárvány Ó.'!T46+'2.9. sz. Szivárvány Ó.'!W46</f>
        <v>0</v>
      </c>
      <c r="F46" s="6">
        <f>+'2.1. sz. PMH'!AQ46+'2.2. sz. Hétszínvirág Óvoda'!AD46+'2.3. sz. Mese Óvoda'!X46+'2.4. sz. Bölcsőde'!U46+'2.5. sz. Gyermekjóléti'!AA46+'2.6 sz. Területi'!BL46+'2.7. sz. Könyvtár'!AD46+'2.8. sz. Műv.Ház'!AE46+'2.9. sz. Szivárvány Ó.'!AA46</f>
        <v>0</v>
      </c>
      <c r="G46" s="6">
        <f>SUMIFS('2.1. sz. PMH'!D46:AL46,'2.1. sz. PMH'!$D$5:$AL$5,"önként vállalt",'2.1. sz. PMH'!$D$3:$AL$3,"Eredeti előirányzat")+SUMIFS('2.2. sz. Hétszínvirág Óvoda'!D46:Z46,'2.2. sz. Hétszínvirág Óvoda'!$D$5:$Z$5,"önként vállalt",'2.2. sz. Hétszínvirág Óvoda'!$D$3:$Z$3,"Eredeti előirányzat")+SUMIFS('2.3. sz. Mese Óvoda'!D46:T46,'2.3. sz. Mese Óvoda'!$D$5:$T$5,"önként vállalt",'2.3. sz. Mese Óvoda'!$D$3:$T$3,"Eredeti előirányzat")+SUMIFS('2.4. sz. Bölcsőde'!D46:Q46,'2.4. sz. Bölcsőde'!$D$5:$Q$5,"önként vállalt",'2.4. sz. Bölcsőde'!$D$3:$Q$3,"Eredeti előirányzat")+SUMIFS('2.5. sz. Gyermekjóléti'!D46:W46,'2.5. sz. Gyermekjóléti'!$D$5:$W$5,"önként vállalt",'2.5. sz. Gyermekjóléti'!$D$3:$W$3,"Eredeti előirányzat")+SUMIFS('2.6 sz. Területi'!D46:BG46,'2.6 sz. Területi'!$D$5:$BG$5,"önként vállalt",'2.6 sz. Területi'!$D$3:$BG$3,"Eredeti előirányzat")+SUMIFS('2.7. sz. Könyvtár'!D46:Z46,'2.7. sz. Könyvtár'!$D$5:$Z$5,"önként vállalt",'2.7. sz. Könyvtár'!$D$3:$Z$3,"Eredeti előirányzat")+SUMIFS('2.8. sz. Műv.Ház'!D46:Z46,'2.8. sz. Műv.Ház'!$D$5:$Z$5,"önként vállalt",'2.8. sz. Műv.Ház'!$D$3:$Z$3,"Eredeti előirányzat")+SUMIFS('2.9. sz. Szivárvány Ó.'!D46:W46,'2.9. sz. Szivárvány Ó.'!$D$5:$W$5,"önként vállalt",'2.9. sz. Szivárvány Ó.'!$D$3:$W$3,"Eredeti előirányzat")</f>
        <v>0</v>
      </c>
      <c r="H46" s="6">
        <f>+'2.6 sz. Területi'!N46+'2.6 sz. Területi'!Q46+'2.6 sz. Területi'!Z46+'2.6 sz. Területi'!AC46+'2.6 sz. Területi'!AF46+'2.8. sz. Műv.Ház'!N46</f>
        <v>0</v>
      </c>
      <c r="I46" s="6">
        <f>+'2.6 sz. Területi'!BM46+'2.8. sz. Műv.Ház'!AF46</f>
        <v>0</v>
      </c>
      <c r="J46" s="6">
        <f>SUMIFS('2.1. sz. PMH'!D46:AL46,'2.1. sz. PMH'!$D$5:$AL$5,"államigazgatási",'2.1. sz. PMH'!$D$3:$AL$3,"Eredeti előirányzat")+SUMIFS('2.2. sz. Hétszínvirág Óvoda'!D46:Z46,'2.2. sz. Hétszínvirág Óvoda'!$D$5:$Z$5,"államigazgatási",'2.2. sz. Hétszínvirág Óvoda'!$D$3:$Z$3,"Eredeti előirányzat")+SUMIFS('2.3. sz. Mese Óvoda'!D46:T46,'2.3. sz. Mese Óvoda'!$D$5:$T$5,"államigazgatási",'2.3. sz. Mese Óvoda'!$D$3:$T$3,"Eredeti előirányzat")+SUMIFS('2.4. sz. Bölcsőde'!D46:Q46,'2.4. sz. Bölcsőde'!$D$5:$Q$5,"államigazgatási",'2.4. sz. Bölcsőde'!$D$3:$Q$3,"Eredeti előirányzat")+SUMIFS('2.5. sz. Gyermekjóléti'!D46:W46,'2.5. sz. Gyermekjóléti'!$D$5:$W$5,"államigazgatási",'2.5. sz. Gyermekjóléti'!$D$3:$W$3,"Eredeti előirányzat")+SUMIFS('2.6 sz. Területi'!D46:BG46,'2.6 sz. Területi'!$D$5:$BG$5,"államigazgatási",'2.6 sz. Területi'!$D$3:$BG$3,"Eredeti előirányzat")+SUMIFS('2.7. sz. Könyvtár'!D46:Z46,'2.7. sz. Könyvtár'!$D$5:$Z$5,"államigazgatási",'2.7. sz. Könyvtár'!$D$3:$Z$3,"Eredeti előirányzat")+SUMIFS('2.8. sz. Műv.Ház'!D46:Z46,'2.8. sz. Műv.Ház'!$D$5:$Z$5,"államigazgatási",'2.8. sz. Műv.Ház'!$D$3:$Z$3,"Eredeti előirányzat")+SUMIFS('2.9. sz. Szivárvány Ó.'!D46:W46,'2.9. sz. Szivárvány Ó.'!$D$5:$W$5,"államigazgatási",'2.9. sz. Szivárvány Ó.'!$D$3:$W$3,"Eredeti előirányzat")</f>
        <v>0</v>
      </c>
      <c r="K46" s="6">
        <f>+'2.1. sz. PMH'!K46+'2.1. sz. PMH'!N46+'2.1. sz. PMH'!Q46+'2.1. sz. PMH'!T46+'2.1. sz. PMH'!Z46+'2.1. sz. PMH'!AC46+'2.1. sz. PMH'!AF46+'2.1. sz. PMH'!AI46</f>
        <v>0</v>
      </c>
      <c r="L46" s="6">
        <f>+'2.1. sz. PMH'!AS46</f>
        <v>0</v>
      </c>
      <c r="M46" s="6">
        <f t="shared" si="0"/>
        <v>0</v>
      </c>
      <c r="N46" s="569">
        <f t="shared" si="1"/>
        <v>0</v>
      </c>
      <c r="O46" s="569">
        <f t="shared" si="2"/>
        <v>0</v>
      </c>
      <c r="Q46" s="19">
        <f>+'2.1. sz. PMH'!AP46+'2.2. sz. Hétszínvirág Óvoda'!AD46+'2.3. sz. Mese Óvoda'!X46+'2.4. sz. Bölcsőde'!U46+'2.5. sz. Gyermekjóléti'!AA46+'2.6 sz. Területi'!BK46+'2.7. sz. Könyvtár'!AD46+'2.8. sz. Műv.Ház'!AD46+'2.9. sz. Szivárvány Ó.'!AA46</f>
        <v>0</v>
      </c>
      <c r="R46" s="80">
        <f t="shared" si="3"/>
        <v>0</v>
      </c>
    </row>
    <row r="47" spans="1:18" s="35" customFormat="1" ht="23.25" customHeight="1" x14ac:dyDescent="0.25">
      <c r="A47" s="25" t="s">
        <v>282</v>
      </c>
      <c r="B47" s="33" t="s">
        <v>109</v>
      </c>
      <c r="C47" s="26"/>
      <c r="D47" s="7">
        <f>SUMIFS('2.1. sz. PMH'!D47:AL47,'2.1. sz. PMH'!$D$5:$AL$5,"kötelező",'2.1. sz. PMH'!$D$3:$AL$3,"Eredeti előirányzat")+SUMIFS('2.2. sz. Hétszínvirág Óvoda'!D47:Z47,'2.2. sz. Hétszínvirág Óvoda'!$D$5:$Z$5,"kötelező",'2.2. sz. Hétszínvirág Óvoda'!$D$3:$Z$3,"Eredeti előirányzat")+SUMIFS('2.3. sz. Mese Óvoda'!D47:T47,'2.3. sz. Mese Óvoda'!$D$5:$T$5,"kötelező",'2.3. sz. Mese Óvoda'!$D$3:$T$3,"Eredeti előirányzat")+SUMIFS('2.4. sz. Bölcsőde'!D47:Q47,'2.4. sz. Bölcsőde'!$D$5:$Q$5,"kötelező",'2.4. sz. Bölcsőde'!$D$3:$Q$3,"Eredeti előirányzat")+SUMIFS('2.5. sz. Gyermekjóléti'!D47:W47,'2.5. sz. Gyermekjóléti'!$D$5:$W$5,"kötelező",'2.5. sz. Gyermekjóléti'!$D$3:$W$3,"Eredeti előirányzat")+SUMIFS('2.6 sz. Területi'!D47:BG47,'2.6 sz. Területi'!$D$5:$BG$5,"kötelező",'2.6 sz. Területi'!$D$3:$BG$3,"Eredeti előirányzat")+SUMIFS('2.7. sz. Könyvtár'!D47:Z47,'2.7. sz. Könyvtár'!$D$5:$Z$5,"kötelező",'2.7. sz. Könyvtár'!$D$3:$Z$3,"Eredeti előirányzat")+SUMIFS('2.8. sz. Műv.Ház'!D47:Z47,'2.8. sz. Műv.Ház'!$D$5:$Z$5,"kötelező",'2.8. sz. Műv.Ház'!$D$3:$Z$3,"Eredeti előirányzat")+SUMIFS('2.9. sz. Szivárvány Ó.'!D47:W47,'2.9. sz. Szivárvány Ó.'!$D$5:$W$5,"kötelező",'2.9. sz. Szivárvány Ó.'!$D$3:$W$3,"Eredeti előirányzat")</f>
        <v>3837627539</v>
      </c>
      <c r="E47" s="7">
        <f>+'2.1. sz. PMH'!E47+'2.1. sz. PMH'!H47+'2.1. sz. PMH'!W47+'2.1. sz. PMH'!AL47+'2.2. sz. Hétszínvirág Óvoda'!E47+'2.2. sz. Hétszínvirág Óvoda'!H47+'2.2. sz. Hétszínvirág Óvoda'!K47+'2.2. sz. Hétszínvirág Óvoda'!N47+'2.2. sz. Hétszínvirág Óvoda'!Q47+'2.2. sz. Hétszínvirág Óvoda'!T47+'2.2. sz. Hétszínvirág Óvoda'!W47+'2.2. sz. Hétszínvirág Óvoda'!Z47+'2.3. sz. Mese Óvoda'!E47+'2.3. sz. Mese Óvoda'!H47+'2.3. sz. Mese Óvoda'!K47+'2.3. sz. Mese Óvoda'!N47+'2.3. sz. Mese Óvoda'!Q47+'2.3. sz. Mese Óvoda'!T47+'2.4. sz. Bölcsőde'!E47+'2.4. sz. Bölcsőde'!H47+'2.4. sz. Bölcsőde'!K47+'2.4. sz. Bölcsőde'!N47+'2.4. sz. Bölcsőde'!Q47+'2.5. sz. Gyermekjóléti'!E47+'2.5. sz. Gyermekjóléti'!H47+'2.5. sz. Gyermekjóléti'!K47+'2.5. sz. Gyermekjóléti'!N47+'2.5. sz. Gyermekjóléti'!Q47+'2.5. sz. Gyermekjóléti'!T47+'2.5. sz. Gyermekjóléti'!W47+'2.6 sz. Területi'!E47+'2.6 sz. Területi'!H47+'2.6 sz. Területi'!K47+'2.6 sz. Területi'!T47+'2.6 sz. Területi'!W47+'2.6 sz. Területi'!AI47+'2.6 sz. Területi'!AL47+'2.6 sz. Területi'!AO47+'2.6 sz. Területi'!AR47+'2.6 sz. Területi'!AU47+'2.6 sz. Területi'!AX47+'2.6 sz. Területi'!BA47+'2.6 sz. Területi'!BD47+'2.6 sz. Területi'!BG47+'2.7. sz. Könyvtár'!E47+'2.7. sz. Könyvtár'!H47+'2.7. sz. Könyvtár'!K47+'2.7. sz. Könyvtár'!N47+'2.7. sz. Könyvtár'!Q47+'2.7. sz. Könyvtár'!T47+'2.7. sz. Könyvtár'!W47+'2.7. sz. Könyvtár'!Z47+'2.8. sz. Műv.Ház'!E47+'2.8. sz. Műv.Ház'!H47+'2.8. sz. Műv.Ház'!K47+'2.8. sz. Műv.Ház'!Q47+'2.8. sz. Műv.Ház'!T47+'2.8. sz. Műv.Ház'!W47+'2.8. sz. Műv.Ház'!Z47+'2.9. sz. Szivárvány Ó.'!E47+'2.9. sz. Szivárvány Ó.'!H47+'2.9. sz. Szivárvány Ó.'!K47+'2.9. sz. Szivárvány Ó.'!N47+'2.9. sz. Szivárvány Ó.'!Q47+'2.9. sz. Szivárvány Ó.'!T47+'2.9. sz. Szivárvány Ó.'!W47</f>
        <v>4280538911</v>
      </c>
      <c r="F47" s="7">
        <f>+'2.1. sz. PMH'!AQ47+'2.2. sz. Hétszínvirág Óvoda'!AD47+'2.3. sz. Mese Óvoda'!X47+'2.4. sz. Bölcsőde'!U47+'2.5. sz. Gyermekjóléti'!AA47+'2.6 sz. Területi'!BL47+'2.7. sz. Könyvtár'!AD47+'2.8. sz. Műv.Ház'!AE47+'2.9. sz. Szivárvány Ó.'!AA47</f>
        <v>3679836124</v>
      </c>
      <c r="G47" s="7">
        <f>SUMIFS('2.1. sz. PMH'!D47:AL47,'2.1. sz. PMH'!$D$5:$AL$5,"önként vállalt",'2.1. sz. PMH'!$D$3:$AL$3,"Eredeti előirányzat")+SUMIFS('2.2. sz. Hétszínvirág Óvoda'!D47:Z47,'2.2. sz. Hétszínvirág Óvoda'!$D$5:$Z$5,"önként vállalt",'2.2. sz. Hétszínvirág Óvoda'!$D$3:$Z$3,"Eredeti előirányzat")+SUMIFS('2.3. sz. Mese Óvoda'!D47:T47,'2.3. sz. Mese Óvoda'!$D$5:$T$5,"önként vállalt",'2.3. sz. Mese Óvoda'!$D$3:$T$3,"Eredeti előirányzat")+SUMIFS('2.4. sz. Bölcsőde'!D47:Q47,'2.4. sz. Bölcsőde'!$D$5:$Q$5,"önként vállalt",'2.4. sz. Bölcsőde'!$D$3:$Q$3,"Eredeti előirányzat")+SUMIFS('2.5. sz. Gyermekjóléti'!D47:W47,'2.5. sz. Gyermekjóléti'!$D$5:$W$5,"önként vállalt",'2.5. sz. Gyermekjóléti'!$D$3:$W$3,"Eredeti előirányzat")+SUMIFS('2.6 sz. Területi'!D47:BG47,'2.6 sz. Területi'!$D$5:$BG$5,"önként vállalt",'2.6 sz. Területi'!$D$3:$BG$3,"Eredeti előirányzat")+SUMIFS('2.7. sz. Könyvtár'!D47:Z47,'2.7. sz. Könyvtár'!$D$5:$Z$5,"önként vállalt",'2.7. sz. Könyvtár'!$D$3:$Z$3,"Eredeti előirányzat")+SUMIFS('2.8. sz. Műv.Ház'!D47:Z47,'2.8. sz. Műv.Ház'!$D$5:$Z$5,"önként vállalt",'2.8. sz. Műv.Ház'!$D$3:$Z$3,"Eredeti előirányzat")+SUMIFS('2.9. sz. Szivárvány Ó.'!D47:W47,'2.9. sz. Szivárvány Ó.'!$D$5:$W$5,"önként vállalt",'2.9. sz. Szivárvány Ó.'!$D$3:$W$3,"Eredeti előirányzat")</f>
        <v>3800000</v>
      </c>
      <c r="H47" s="7">
        <f>+'2.6 sz. Területi'!N47+'2.6 sz. Területi'!Q47+'2.6 sz. Területi'!Z47+'2.6 sz. Területi'!AC47+'2.6 sz. Területi'!AF47+'2.8. sz. Műv.Ház'!N47</f>
        <v>3945640</v>
      </c>
      <c r="I47" s="7">
        <f>+'2.6 sz. Területi'!BM47+'2.8. sz. Műv.Ház'!AF47</f>
        <v>3945640</v>
      </c>
      <c r="J47" s="7">
        <f>SUMIFS('2.1. sz. PMH'!D47:AL47,'2.1. sz. PMH'!$D$5:$AL$5,"államigazgatási",'2.1. sz. PMH'!$D$3:$AL$3,"Eredeti előirányzat")+SUMIFS('2.2. sz. Hétszínvirág Óvoda'!D47:Z47,'2.2. sz. Hétszínvirág Óvoda'!$D$5:$Z$5,"államigazgatási",'2.2. sz. Hétszínvirág Óvoda'!$D$3:$Z$3,"Eredeti előirányzat")+SUMIFS('2.3. sz. Mese Óvoda'!D47:T47,'2.3. sz. Mese Óvoda'!$D$5:$T$5,"államigazgatási",'2.3. sz. Mese Óvoda'!$D$3:$T$3,"Eredeti előirányzat")+SUMIFS('2.4. sz. Bölcsőde'!D47:Q47,'2.4. sz. Bölcsőde'!$D$5:$Q$5,"államigazgatási",'2.4. sz. Bölcsőde'!$D$3:$Q$3,"Eredeti előirányzat")+SUMIFS('2.5. sz. Gyermekjóléti'!D47:W47,'2.5. sz. Gyermekjóléti'!$D$5:$W$5,"államigazgatási",'2.5. sz. Gyermekjóléti'!$D$3:$W$3,"Eredeti előirányzat")+SUMIFS('2.6 sz. Területi'!D47:BG47,'2.6 sz. Területi'!$D$5:$BG$5,"államigazgatási",'2.6 sz. Területi'!$D$3:$BG$3,"Eredeti előirányzat")+SUMIFS('2.7. sz. Könyvtár'!D47:Z47,'2.7. sz. Könyvtár'!$D$5:$Z$5,"államigazgatási",'2.7. sz. Könyvtár'!$D$3:$Z$3,"Eredeti előirányzat")+SUMIFS('2.8. sz. Műv.Ház'!D47:Z47,'2.8. sz. Műv.Ház'!$D$5:$Z$5,"államigazgatási",'2.8. sz. Műv.Ház'!$D$3:$Z$3,"Eredeti előirányzat")+SUMIFS('2.9. sz. Szivárvány Ó.'!D47:W47,'2.9. sz. Szivárvány Ó.'!$D$5:$W$5,"államigazgatási",'2.9. sz. Szivárvány Ó.'!$D$3:$W$3,"Eredeti előirányzat")</f>
        <v>4000000</v>
      </c>
      <c r="K47" s="7">
        <f>+'2.1. sz. PMH'!K47+'2.1. sz. PMH'!N47+'2.1. sz. PMH'!Q47+'2.1. sz. PMH'!T47+'2.1. sz. PMH'!Z47+'2.1. sz. PMH'!AC47+'2.1. sz. PMH'!AF47+'2.1. sz. PMH'!AI47</f>
        <v>29647804</v>
      </c>
      <c r="L47" s="7">
        <f>+'2.1. sz. PMH'!AS47</f>
        <v>29647804</v>
      </c>
      <c r="M47" s="7">
        <f t="shared" si="0"/>
        <v>3845427539</v>
      </c>
      <c r="N47" s="570">
        <f t="shared" si="1"/>
        <v>4314132355</v>
      </c>
      <c r="O47" s="570">
        <f t="shared" si="2"/>
        <v>3713429568</v>
      </c>
      <c r="Q47" s="19">
        <f>+'2.1. sz. PMH'!AP47+'2.2. sz. Hétszínvirág Óvoda'!AD47+'2.3. sz. Mese Óvoda'!X47+'2.4. sz. Bölcsőde'!U47+'2.5. sz. Gyermekjóléti'!AA47+'2.6 sz. Területi'!BK47+'2.7. sz. Könyvtár'!AD47+'2.8. sz. Műv.Ház'!AD47+'2.9. sz. Szivárvány Ó.'!AA47</f>
        <v>3713429568</v>
      </c>
      <c r="R47" s="80">
        <f t="shared" si="3"/>
        <v>0</v>
      </c>
    </row>
    <row r="48" spans="1:18" s="35" customFormat="1" ht="23.25" customHeight="1" x14ac:dyDescent="0.25">
      <c r="A48" s="25" t="s">
        <v>283</v>
      </c>
      <c r="B48" s="33" t="s">
        <v>110</v>
      </c>
      <c r="C48" s="26"/>
      <c r="D48" s="7">
        <f>SUMIFS('2.1. sz. PMH'!D48:AL48,'2.1. sz. PMH'!$D$5:$AL$5,"kötelező",'2.1. sz. PMH'!$D$3:$AL$3,"Eredeti előirányzat")+SUMIFS('2.2. sz. Hétszínvirág Óvoda'!D48:Z48,'2.2. sz. Hétszínvirág Óvoda'!$D$5:$Z$5,"kötelező",'2.2. sz. Hétszínvirág Óvoda'!$D$3:$Z$3,"Eredeti előirányzat")+SUMIFS('2.3. sz. Mese Óvoda'!D48:T48,'2.3. sz. Mese Óvoda'!$D$5:$T$5,"kötelező",'2.3. sz. Mese Óvoda'!$D$3:$T$3,"Eredeti előirányzat")+SUMIFS('2.4. sz. Bölcsőde'!D48:Q48,'2.4. sz. Bölcsőde'!$D$5:$Q$5,"kötelező",'2.4. sz. Bölcsőde'!$D$3:$Q$3,"Eredeti előirányzat")+SUMIFS('2.5. sz. Gyermekjóléti'!D48:W48,'2.5. sz. Gyermekjóléti'!$D$5:$W$5,"kötelező",'2.5. sz. Gyermekjóléti'!$D$3:$W$3,"Eredeti előirányzat")+SUMIFS('2.6 sz. Területi'!D48:BG48,'2.6 sz. Területi'!$D$5:$BG$5,"kötelező",'2.6 sz. Területi'!$D$3:$BG$3,"Eredeti előirányzat")+SUMIFS('2.7. sz. Könyvtár'!D48:Z48,'2.7. sz. Könyvtár'!$D$5:$Z$5,"kötelező",'2.7. sz. Könyvtár'!$D$3:$Z$3,"Eredeti előirányzat")+SUMIFS('2.8. sz. Műv.Ház'!D48:Z48,'2.8. sz. Műv.Ház'!$D$5:$Z$5,"kötelező",'2.8. sz. Műv.Ház'!$D$3:$Z$3,"Eredeti előirányzat")+SUMIFS('2.9. sz. Szivárvány Ó.'!D48:W48,'2.9. sz. Szivárvány Ó.'!$D$5:$W$5,"kötelező",'2.9. sz. Szivárvány Ó.'!$D$3:$W$3,"Eredeti előirányzat")</f>
        <v>70859015</v>
      </c>
      <c r="E48" s="7">
        <f>+'2.1. sz. PMH'!E48+'2.1. sz. PMH'!H48+'2.1. sz. PMH'!W48+'2.1. sz. PMH'!AL48+'2.2. sz. Hétszínvirág Óvoda'!E48+'2.2. sz. Hétszínvirág Óvoda'!H48+'2.2. sz. Hétszínvirág Óvoda'!K48+'2.2. sz. Hétszínvirág Óvoda'!N48+'2.2. sz. Hétszínvirág Óvoda'!Q48+'2.2. sz. Hétszínvirág Óvoda'!T48+'2.2. sz. Hétszínvirág Óvoda'!W48+'2.2. sz. Hétszínvirág Óvoda'!Z48+'2.3. sz. Mese Óvoda'!E48+'2.3. sz. Mese Óvoda'!H48+'2.3. sz. Mese Óvoda'!K48+'2.3. sz. Mese Óvoda'!N48+'2.3. sz. Mese Óvoda'!Q48+'2.3. sz. Mese Óvoda'!T48+'2.4. sz. Bölcsőde'!E48+'2.4. sz. Bölcsőde'!H48+'2.4. sz. Bölcsőde'!K48+'2.4. sz. Bölcsőde'!N48+'2.4. sz. Bölcsőde'!Q48+'2.5. sz. Gyermekjóléti'!E48+'2.5. sz. Gyermekjóléti'!H48+'2.5. sz. Gyermekjóléti'!K48+'2.5. sz. Gyermekjóléti'!N48+'2.5. sz. Gyermekjóléti'!Q48+'2.5. sz. Gyermekjóléti'!T48+'2.5. sz. Gyermekjóléti'!W48+'2.6 sz. Területi'!E48+'2.6 sz. Területi'!H48+'2.6 sz. Területi'!K48+'2.6 sz. Területi'!T48+'2.6 sz. Területi'!W48+'2.6 sz. Területi'!AI48+'2.6 sz. Területi'!AL48+'2.6 sz. Területi'!AO48+'2.6 sz. Területi'!AR48+'2.6 sz. Területi'!AU48+'2.6 sz. Területi'!AX48+'2.6 sz. Területi'!BA48+'2.6 sz. Területi'!BD48+'2.6 sz. Területi'!BG48+'2.7. sz. Könyvtár'!E48+'2.7. sz. Könyvtár'!H48+'2.7. sz. Könyvtár'!K48+'2.7. sz. Könyvtár'!N48+'2.7. sz. Könyvtár'!Q48+'2.7. sz. Könyvtár'!T48+'2.7. sz. Könyvtár'!W48+'2.7. sz. Könyvtár'!Z48+'2.8. sz. Műv.Ház'!E48+'2.8. sz. Műv.Ház'!H48+'2.8. sz. Műv.Ház'!K48+'2.8. sz. Műv.Ház'!Q48+'2.8. sz. Műv.Ház'!T48+'2.8. sz. Műv.Ház'!W48+'2.8. sz. Műv.Ház'!Z48+'2.9. sz. Szivárvány Ó.'!E48+'2.9. sz. Szivárvány Ó.'!H48+'2.9. sz. Szivárvány Ó.'!K48+'2.9. sz. Szivárvány Ó.'!N48+'2.9. sz. Szivárvány Ó.'!Q48+'2.9. sz. Szivárvány Ó.'!T48+'2.9. sz. Szivárvány Ó.'!W48</f>
        <v>109157133</v>
      </c>
      <c r="F48" s="7">
        <f>+'2.1. sz. PMH'!AQ48+'2.2. sz. Hétszínvirág Óvoda'!AD48+'2.3. sz. Mese Óvoda'!X48+'2.4. sz. Bölcsőde'!U48+'2.5. sz. Gyermekjóléti'!AA48+'2.6 sz. Területi'!BL48+'2.7. sz. Könyvtár'!AD48+'2.8. sz. Műv.Ház'!AE48+'2.9. sz. Szivárvány Ó.'!AA48</f>
        <v>109023833</v>
      </c>
      <c r="G48" s="7">
        <f>SUMIFS('2.1. sz. PMH'!D48:AL48,'2.1. sz. PMH'!$D$5:$AL$5,"önként vállalt",'2.1. sz. PMH'!$D$3:$AL$3,"Eredeti előirányzat")+SUMIFS('2.2. sz. Hétszínvirág Óvoda'!D48:Z48,'2.2. sz. Hétszínvirág Óvoda'!$D$5:$Z$5,"önként vállalt",'2.2. sz. Hétszínvirág Óvoda'!$D$3:$Z$3,"Eredeti előirányzat")+SUMIFS('2.3. sz. Mese Óvoda'!D48:T48,'2.3. sz. Mese Óvoda'!$D$5:$T$5,"önként vállalt",'2.3. sz. Mese Óvoda'!$D$3:$T$3,"Eredeti előirányzat")+SUMIFS('2.4. sz. Bölcsőde'!D48:Q48,'2.4. sz. Bölcsőde'!$D$5:$Q$5,"önként vállalt",'2.4. sz. Bölcsőde'!$D$3:$Q$3,"Eredeti előirányzat")+SUMIFS('2.5. sz. Gyermekjóléti'!D48:W48,'2.5. sz. Gyermekjóléti'!$D$5:$W$5,"önként vállalt",'2.5. sz. Gyermekjóléti'!$D$3:$W$3,"Eredeti előirányzat")+SUMIFS('2.6 sz. Területi'!D48:BG48,'2.6 sz. Területi'!$D$5:$BG$5,"önként vállalt",'2.6 sz. Területi'!$D$3:$BG$3,"Eredeti előirányzat")+SUMIFS('2.7. sz. Könyvtár'!D48:Z48,'2.7. sz. Könyvtár'!$D$5:$Z$5,"önként vállalt",'2.7. sz. Könyvtár'!$D$3:$Z$3,"Eredeti előirányzat")+SUMIFS('2.8. sz. Műv.Ház'!D48:Z48,'2.8. sz. Műv.Ház'!$D$5:$Z$5,"önként vállalt",'2.8. sz. Műv.Ház'!$D$3:$Z$3,"Eredeti előirányzat")+SUMIFS('2.9. sz. Szivárvány Ó.'!D48:W48,'2.9. sz. Szivárvány Ó.'!$D$5:$W$5,"önként vállalt",'2.9. sz. Szivárvány Ó.'!$D$3:$W$3,"Eredeti előirányzat")</f>
        <v>0</v>
      </c>
      <c r="H48" s="7">
        <f>+'2.6 sz. Területi'!N48+'2.6 sz. Területi'!Q48+'2.6 sz. Területi'!Z48+'2.6 sz. Területi'!AC48+'2.6 sz. Területi'!AF48+'2.8. sz. Műv.Ház'!N48</f>
        <v>0</v>
      </c>
      <c r="I48" s="7">
        <f>+'2.6 sz. Területi'!BM48+'2.8. sz. Műv.Ház'!AF48</f>
        <v>0</v>
      </c>
      <c r="J48" s="7">
        <f>SUMIFS('2.1. sz. PMH'!D48:AL48,'2.1. sz. PMH'!$D$5:$AL$5,"államigazgatási",'2.1. sz. PMH'!$D$3:$AL$3,"Eredeti előirányzat")+SUMIFS('2.2. sz. Hétszínvirág Óvoda'!D48:Z48,'2.2. sz. Hétszínvirág Óvoda'!$D$5:$Z$5,"államigazgatási",'2.2. sz. Hétszínvirág Óvoda'!$D$3:$Z$3,"Eredeti előirányzat")+SUMIFS('2.3. sz. Mese Óvoda'!D48:T48,'2.3. sz. Mese Óvoda'!$D$5:$T$5,"államigazgatási",'2.3. sz. Mese Óvoda'!$D$3:$T$3,"Eredeti előirányzat")+SUMIFS('2.4. sz. Bölcsőde'!D48:Q48,'2.4. sz. Bölcsőde'!$D$5:$Q$5,"államigazgatási",'2.4. sz. Bölcsőde'!$D$3:$Q$3,"Eredeti előirányzat")+SUMIFS('2.5. sz. Gyermekjóléti'!D48:W48,'2.5. sz. Gyermekjóléti'!$D$5:$W$5,"államigazgatási",'2.5. sz. Gyermekjóléti'!$D$3:$W$3,"Eredeti előirányzat")+SUMIFS('2.6 sz. Területi'!D48:BG48,'2.6 sz. Területi'!$D$5:$BG$5,"államigazgatási",'2.6 sz. Területi'!$D$3:$BG$3,"Eredeti előirányzat")+SUMIFS('2.7. sz. Könyvtár'!D48:Z48,'2.7. sz. Könyvtár'!$D$5:$Z$5,"államigazgatási",'2.7. sz. Könyvtár'!$D$3:$Z$3,"Eredeti előirányzat")+SUMIFS('2.8. sz. Műv.Ház'!D48:Z48,'2.8. sz. Műv.Ház'!$D$5:$Z$5,"államigazgatási",'2.8. sz. Műv.Ház'!$D$3:$Z$3,"Eredeti előirányzat")+SUMIFS('2.9. sz. Szivárvány Ó.'!D48:W48,'2.9. sz. Szivárvány Ó.'!$D$5:$W$5,"államigazgatási",'2.9. sz. Szivárvány Ó.'!$D$3:$W$3,"Eredeti előirányzat")</f>
        <v>0</v>
      </c>
      <c r="K48" s="7">
        <f>+'2.1. sz. PMH'!K48+'2.1. sz. PMH'!N48+'2.1. sz. PMH'!Q48+'2.1. sz. PMH'!T48+'2.1. sz. PMH'!Z48+'2.1. sz. PMH'!AC48+'2.1. sz. PMH'!AF48+'2.1. sz. PMH'!AI48</f>
        <v>0</v>
      </c>
      <c r="L48" s="7">
        <f>+'2.1. sz. PMH'!AS48</f>
        <v>0</v>
      </c>
      <c r="M48" s="7">
        <f t="shared" si="0"/>
        <v>70859015</v>
      </c>
      <c r="N48" s="570">
        <f t="shared" si="1"/>
        <v>109157133</v>
      </c>
      <c r="O48" s="570">
        <f t="shared" si="2"/>
        <v>109023833</v>
      </c>
      <c r="Q48" s="19">
        <f>+'2.1. sz. PMH'!AP48+'2.2. sz. Hétszínvirág Óvoda'!AD48+'2.3. sz. Mese Óvoda'!X48+'2.4. sz. Bölcsőde'!U48+'2.5. sz. Gyermekjóléti'!AA48+'2.6 sz. Területi'!BK48+'2.7. sz. Könyvtár'!AD48+'2.8. sz. Műv.Ház'!AD48+'2.9. sz. Szivárvány Ó.'!AA48</f>
        <v>109023833</v>
      </c>
      <c r="R48" s="80">
        <f t="shared" si="3"/>
        <v>0</v>
      </c>
    </row>
    <row r="49" spans="1:21" s="35" customFormat="1" ht="23.25" customHeight="1" x14ac:dyDescent="0.25">
      <c r="A49" s="25" t="s">
        <v>284</v>
      </c>
      <c r="B49" s="33" t="s">
        <v>329</v>
      </c>
      <c r="C49" s="26"/>
      <c r="D49" s="7">
        <f>SUMIFS('2.1. sz. PMH'!D49:AL49,'2.1. sz. PMH'!$D$5:$AL$5,"kötelező",'2.1. sz. PMH'!$D$3:$AL$3,"Eredeti előirányzat")+SUMIFS('2.2. sz. Hétszínvirág Óvoda'!D49:Z49,'2.2. sz. Hétszínvirág Óvoda'!$D$5:$Z$5,"kötelező",'2.2. sz. Hétszínvirág Óvoda'!$D$3:$Z$3,"Eredeti előirányzat")+SUMIFS('2.3. sz. Mese Óvoda'!D49:T49,'2.3. sz. Mese Óvoda'!$D$5:$T$5,"kötelező",'2.3. sz. Mese Óvoda'!$D$3:$T$3,"Eredeti előirányzat")+SUMIFS('2.4. sz. Bölcsőde'!D49:Q49,'2.4. sz. Bölcsőde'!$D$5:$Q$5,"kötelező",'2.4. sz. Bölcsőde'!$D$3:$Q$3,"Eredeti előirányzat")+SUMIFS('2.5. sz. Gyermekjóléti'!D49:W49,'2.5. sz. Gyermekjóléti'!$D$5:$W$5,"kötelező",'2.5. sz. Gyermekjóléti'!$D$3:$W$3,"Eredeti előirányzat")+SUMIFS('2.6 sz. Területi'!D49:BG49,'2.6 sz. Területi'!$D$5:$BG$5,"kötelező",'2.6 sz. Területi'!$D$3:$BG$3,"Eredeti előirányzat")+SUMIFS('2.7. sz. Könyvtár'!D49:Z49,'2.7. sz. Könyvtár'!$D$5:$Z$5,"kötelező",'2.7. sz. Könyvtár'!$D$3:$Z$3,"Eredeti előirányzat")+SUMIFS('2.8. sz. Műv.Ház'!D49:Z49,'2.8. sz. Műv.Ház'!$D$5:$Z$5,"kötelező",'2.8. sz. Műv.Ház'!$D$3:$Z$3,"Eredeti előirányzat")+SUMIFS('2.9. sz. Szivárvány Ó.'!D49:W49,'2.9. sz. Szivárvány Ó.'!$D$5:$W$5,"kötelező",'2.9. sz. Szivárvány Ó.'!$D$3:$W$3,"Eredeti előirányzat")</f>
        <v>3908486554</v>
      </c>
      <c r="E49" s="7">
        <f>+'2.1. sz. PMH'!E49+'2.1. sz. PMH'!H49+'2.1. sz. PMH'!W49+'2.1. sz. PMH'!AL49+'2.2. sz. Hétszínvirág Óvoda'!E49+'2.2. sz. Hétszínvirág Óvoda'!H49+'2.2. sz. Hétszínvirág Óvoda'!K49+'2.2. sz. Hétszínvirág Óvoda'!N49+'2.2. sz. Hétszínvirág Óvoda'!Q49+'2.2. sz. Hétszínvirág Óvoda'!T49+'2.2. sz. Hétszínvirág Óvoda'!W49+'2.2. sz. Hétszínvirág Óvoda'!Z49+'2.3. sz. Mese Óvoda'!E49+'2.3. sz. Mese Óvoda'!H49+'2.3. sz. Mese Óvoda'!K49+'2.3. sz. Mese Óvoda'!N49+'2.3. sz. Mese Óvoda'!Q49+'2.3. sz. Mese Óvoda'!T49+'2.4. sz. Bölcsőde'!E49+'2.4. sz. Bölcsőde'!H49+'2.4. sz. Bölcsőde'!K49+'2.4. sz. Bölcsőde'!N49+'2.4. sz. Bölcsőde'!Q49+'2.5. sz. Gyermekjóléti'!E49+'2.5. sz. Gyermekjóléti'!H49+'2.5. sz. Gyermekjóléti'!K49+'2.5. sz. Gyermekjóléti'!N49+'2.5. sz. Gyermekjóléti'!Q49+'2.5. sz. Gyermekjóléti'!T49+'2.5. sz. Gyermekjóléti'!W49+'2.6 sz. Területi'!E49+'2.6 sz. Területi'!H49+'2.6 sz. Területi'!K49+'2.6 sz. Területi'!T49+'2.6 sz. Területi'!W49+'2.6 sz. Területi'!AI49+'2.6 sz. Területi'!AL49+'2.6 sz. Területi'!AO49+'2.6 sz. Területi'!AR49+'2.6 sz. Területi'!AU49+'2.6 sz. Területi'!AX49+'2.6 sz. Területi'!BA49+'2.6 sz. Területi'!BD49+'2.6 sz. Területi'!BG49+'2.7. sz. Könyvtár'!E49+'2.7. sz. Könyvtár'!H49+'2.7. sz. Könyvtár'!K49+'2.7. sz. Könyvtár'!N49+'2.7. sz. Könyvtár'!Q49+'2.7. sz. Könyvtár'!T49+'2.7. sz. Könyvtár'!W49+'2.7. sz. Könyvtár'!Z49+'2.8. sz. Műv.Ház'!E49+'2.8. sz. Műv.Ház'!H49+'2.8. sz. Műv.Ház'!K49+'2.8. sz. Műv.Ház'!Q49+'2.8. sz. Műv.Ház'!T49+'2.8. sz. Műv.Ház'!W49+'2.8. sz. Műv.Ház'!Z49+'2.9. sz. Szivárvány Ó.'!E49+'2.9. sz. Szivárvány Ó.'!H49+'2.9. sz. Szivárvány Ó.'!K49+'2.9. sz. Szivárvány Ó.'!N49+'2.9. sz. Szivárvány Ó.'!Q49+'2.9. sz. Szivárvány Ó.'!T49+'2.9. sz. Szivárvány Ó.'!W49</f>
        <v>4389696044</v>
      </c>
      <c r="F49" s="7">
        <f>+'2.1. sz. PMH'!AQ49+'2.2. sz. Hétszínvirág Óvoda'!AD49+'2.3. sz. Mese Óvoda'!X49+'2.4. sz. Bölcsőde'!U49+'2.5. sz. Gyermekjóléti'!AA49+'2.6 sz. Területi'!BL49+'2.7. sz. Könyvtár'!AD49+'2.8. sz. Műv.Ház'!AE49+'2.9. sz. Szivárvány Ó.'!AA49</f>
        <v>3788859957</v>
      </c>
      <c r="G49" s="7">
        <f>SUMIFS('2.1. sz. PMH'!D49:AL49,'2.1. sz. PMH'!$D$5:$AL$5,"önként vállalt",'2.1. sz. PMH'!$D$3:$AL$3,"Eredeti előirányzat")+SUMIFS('2.2. sz. Hétszínvirág Óvoda'!D49:Z49,'2.2. sz. Hétszínvirág Óvoda'!$D$5:$Z$5,"önként vállalt",'2.2. sz. Hétszínvirág Óvoda'!$D$3:$Z$3,"Eredeti előirányzat")+SUMIFS('2.3. sz. Mese Óvoda'!D49:T49,'2.3. sz. Mese Óvoda'!$D$5:$T$5,"önként vállalt",'2.3. sz. Mese Óvoda'!$D$3:$T$3,"Eredeti előirányzat")+SUMIFS('2.4. sz. Bölcsőde'!D49:Q49,'2.4. sz. Bölcsőde'!$D$5:$Q$5,"önként vállalt",'2.4. sz. Bölcsőde'!$D$3:$Q$3,"Eredeti előirányzat")+SUMIFS('2.5. sz. Gyermekjóléti'!D49:W49,'2.5. sz. Gyermekjóléti'!$D$5:$W$5,"önként vállalt",'2.5. sz. Gyermekjóléti'!$D$3:$W$3,"Eredeti előirányzat")+SUMIFS('2.6 sz. Területi'!D49:BG49,'2.6 sz. Területi'!$D$5:$BG$5,"önként vállalt",'2.6 sz. Területi'!$D$3:$BG$3,"Eredeti előirányzat")+SUMIFS('2.7. sz. Könyvtár'!D49:Z49,'2.7. sz. Könyvtár'!$D$5:$Z$5,"önként vállalt",'2.7. sz. Könyvtár'!$D$3:$Z$3,"Eredeti előirányzat")+SUMIFS('2.8. sz. Műv.Ház'!D49:Z49,'2.8. sz. Műv.Ház'!$D$5:$Z$5,"önként vállalt",'2.8. sz. Műv.Ház'!$D$3:$Z$3,"Eredeti előirányzat")+SUMIFS('2.9. sz. Szivárvány Ó.'!D49:W49,'2.9. sz. Szivárvány Ó.'!$D$5:$W$5,"önként vállalt",'2.9. sz. Szivárvány Ó.'!$D$3:$W$3,"Eredeti előirányzat")</f>
        <v>3800000</v>
      </c>
      <c r="H49" s="7">
        <f>+'2.6 sz. Területi'!N49+'2.6 sz. Területi'!Q49+'2.6 sz. Területi'!Z49+'2.6 sz. Területi'!AC49+'2.6 sz. Területi'!AF49+'2.8. sz. Műv.Ház'!N49</f>
        <v>3945640</v>
      </c>
      <c r="I49" s="7">
        <f>+'2.6 sz. Területi'!BM49+'2.8. sz. Műv.Ház'!AF49</f>
        <v>3945640</v>
      </c>
      <c r="J49" s="7">
        <f>SUMIFS('2.1. sz. PMH'!D49:AL49,'2.1. sz. PMH'!$D$5:$AL$5,"államigazgatási",'2.1. sz. PMH'!$D$3:$AL$3,"Eredeti előirányzat")+SUMIFS('2.2. sz. Hétszínvirág Óvoda'!D49:Z49,'2.2. sz. Hétszínvirág Óvoda'!$D$5:$Z$5,"államigazgatási",'2.2. sz. Hétszínvirág Óvoda'!$D$3:$Z$3,"Eredeti előirányzat")+SUMIFS('2.3. sz. Mese Óvoda'!D49:T49,'2.3. sz. Mese Óvoda'!$D$5:$T$5,"államigazgatási",'2.3. sz. Mese Óvoda'!$D$3:$T$3,"Eredeti előirányzat")+SUMIFS('2.4. sz. Bölcsőde'!D49:Q49,'2.4. sz. Bölcsőde'!$D$5:$Q$5,"államigazgatási",'2.4. sz. Bölcsőde'!$D$3:$Q$3,"Eredeti előirányzat")+SUMIFS('2.5. sz. Gyermekjóléti'!D49:W49,'2.5. sz. Gyermekjóléti'!$D$5:$W$5,"államigazgatási",'2.5. sz. Gyermekjóléti'!$D$3:$W$3,"Eredeti előirányzat")+SUMIFS('2.6 sz. Területi'!D49:BG49,'2.6 sz. Területi'!$D$5:$BG$5,"államigazgatási",'2.6 sz. Területi'!$D$3:$BG$3,"Eredeti előirányzat")+SUMIFS('2.7. sz. Könyvtár'!D49:Z49,'2.7. sz. Könyvtár'!$D$5:$Z$5,"államigazgatási",'2.7. sz. Könyvtár'!$D$3:$Z$3,"Eredeti előirányzat")+SUMIFS('2.8. sz. Műv.Ház'!D49:Z49,'2.8. sz. Műv.Ház'!$D$5:$Z$5,"államigazgatási",'2.8. sz. Műv.Ház'!$D$3:$Z$3,"Eredeti előirányzat")+SUMIFS('2.9. sz. Szivárvány Ó.'!D49:W49,'2.9. sz. Szivárvány Ó.'!$D$5:$W$5,"államigazgatási",'2.9. sz. Szivárvány Ó.'!$D$3:$W$3,"Eredeti előirányzat")</f>
        <v>4000000</v>
      </c>
      <c r="K49" s="7">
        <f>+'2.1. sz. PMH'!K49+'2.1. sz. PMH'!N49+'2.1. sz. PMH'!Q49+'2.1. sz. PMH'!T49+'2.1. sz. PMH'!Z49+'2.1. sz. PMH'!AC49+'2.1. sz. PMH'!AF49+'2.1. sz. PMH'!AI49</f>
        <v>29647804</v>
      </c>
      <c r="L49" s="7">
        <f>+'2.1. sz. PMH'!AS49</f>
        <v>29647804</v>
      </c>
      <c r="M49" s="7">
        <f t="shared" si="0"/>
        <v>3916286554</v>
      </c>
      <c r="N49" s="570">
        <f t="shared" si="1"/>
        <v>4423289488</v>
      </c>
      <c r="O49" s="570">
        <f t="shared" si="2"/>
        <v>3822453401</v>
      </c>
      <c r="P49" s="81">
        <f>M49-M30</f>
        <v>0</v>
      </c>
      <c r="Q49" s="19">
        <f>+'2.1. sz. PMH'!AP49+'2.2. sz. Hétszínvirág Óvoda'!AD49+'2.3. sz. Mese Óvoda'!X49+'2.4. sz. Bölcsőde'!U49+'2.5. sz. Gyermekjóléti'!AA49+'2.6 sz. Területi'!BK49+'2.7. sz. Könyvtár'!AD49+'2.8. sz. Műv.Ház'!AD49+'2.9. sz. Szivárvány Ó.'!AA49</f>
        <v>3822453401</v>
      </c>
      <c r="R49" s="80">
        <f t="shared" si="3"/>
        <v>0</v>
      </c>
    </row>
    <row r="50" spans="1:21" ht="23.25" customHeight="1" x14ac:dyDescent="0.25">
      <c r="A50" s="25" t="s">
        <v>285</v>
      </c>
      <c r="B50" s="296" t="s">
        <v>2075</v>
      </c>
      <c r="C50" s="172"/>
      <c r="D50" s="7">
        <f>SUMIFS('2.1. sz. PMH'!D50:AL50,'2.1. sz. PMH'!$D$5:$AL$5,"kötelező",'2.1. sz. PMH'!$D$3:$AL$3,"Eredeti előirányzat")+SUMIFS('2.2. sz. Hétszínvirág Óvoda'!D50:Z50,'2.2. sz. Hétszínvirág Óvoda'!$D$5:$Z$5,"kötelező",'2.2. sz. Hétszínvirág Óvoda'!$D$3:$Z$3,"Eredeti előirányzat")+SUMIFS('2.3. sz. Mese Óvoda'!D50:T50,'2.3. sz. Mese Óvoda'!$D$5:$T$5,"kötelező",'2.3. sz. Mese Óvoda'!$D$3:$T$3,"Eredeti előirányzat")+SUMIFS('2.4. sz. Bölcsőde'!D50:Q50,'2.4. sz. Bölcsőde'!$D$5:$Q$5,"kötelező",'2.4. sz. Bölcsőde'!$D$3:$Q$3,"Eredeti előirányzat")+SUMIFS('2.5. sz. Gyermekjóléti'!D50:W50,'2.5. sz. Gyermekjóléti'!$D$5:$W$5,"kötelező",'2.5. sz. Gyermekjóléti'!$D$3:$W$3,"Eredeti előirányzat")+SUMIFS('2.6 sz. Területi'!D50:BG50,'2.6 sz. Területi'!$D$5:$BG$5,"kötelező",'2.6 sz. Területi'!$D$3:$BG$3,"Eredeti előirányzat")+SUMIFS('2.7. sz. Könyvtár'!D50:Z50,'2.7. sz. Könyvtár'!$D$5:$Z$5,"kötelező",'2.7. sz. Könyvtár'!$D$3:$Z$3,"Eredeti előirányzat")+SUMIFS('2.8. sz. Műv.Ház'!D50:Z50,'2.8. sz. Műv.Ház'!$D$5:$Z$5,"kötelező",'2.8. sz. Műv.Ház'!$D$3:$Z$3,"Eredeti előirányzat")+SUMIFS('2.9. sz. Szivárvány Ó.'!D50:W50,'2.9. sz. Szivárvány Ó.'!$D$5:$W$5,"kötelező",'2.9. sz. Szivárvány Ó.'!$D$3:$W$3,"Eredeti előirányzat")</f>
        <v>338</v>
      </c>
      <c r="E50" s="6">
        <f>+'2.1. sz. PMH'!E50+'2.1. sz. PMH'!H50+'2.1. sz. PMH'!W50+'2.1. sz. PMH'!AL50+'2.2. sz. Hétszínvirág Óvoda'!E50+'2.2. sz. Hétszínvirág Óvoda'!H50+'2.2. sz. Hétszínvirág Óvoda'!K50+'2.2. sz. Hétszínvirág Óvoda'!N50+'2.2. sz. Hétszínvirág Óvoda'!Q50+'2.2. sz. Hétszínvirág Óvoda'!T50+'2.2. sz. Hétszínvirág Óvoda'!W50+'2.2. sz. Hétszínvirág Óvoda'!Z50+'2.3. sz. Mese Óvoda'!E50+'2.3. sz. Mese Óvoda'!H50+'2.3. sz. Mese Óvoda'!K50+'2.3. sz. Mese Óvoda'!N50+'2.3. sz. Mese Óvoda'!Q50+'2.3. sz. Mese Óvoda'!T50+'2.4. sz. Bölcsőde'!E50+'2.4. sz. Bölcsőde'!H50+'2.4. sz. Bölcsőde'!K50+'2.4. sz. Bölcsőde'!N50+'2.4. sz. Bölcsőde'!Q50+'2.5. sz. Gyermekjóléti'!E50+'2.5. sz. Gyermekjóléti'!H50+'2.5. sz. Gyermekjóléti'!K50+'2.5. sz. Gyermekjóléti'!N50+'2.5. sz. Gyermekjóléti'!Q50+'2.5. sz. Gyermekjóléti'!T50+'2.5. sz. Gyermekjóléti'!W50+'2.6 sz. Területi'!E50+'2.6 sz. Területi'!H50+'2.6 sz. Területi'!K50+'2.6 sz. Területi'!T50+'2.6 sz. Területi'!W50+'2.6 sz. Területi'!AI50+'2.6 sz. Területi'!AL50+'2.6 sz. Területi'!AO50+'2.6 sz. Területi'!AR50+'2.6 sz. Területi'!AU50+'2.6 sz. Területi'!AX50+'2.6 sz. Területi'!BA50+'2.6 sz. Területi'!BD50+'2.6 sz. Területi'!BG50+'2.7. sz. Könyvtár'!E50+'2.7. sz. Könyvtár'!H50+'2.7. sz. Könyvtár'!K50+'2.7. sz. Könyvtár'!N50+'2.7. sz. Könyvtár'!Q50+'2.7. sz. Könyvtár'!T50+'2.7. sz. Könyvtár'!W50+'2.7. sz. Könyvtár'!Z50+'2.8. sz. Műv.Ház'!E50+'2.8. sz. Műv.Ház'!H50+'2.8. sz. Műv.Ház'!K50+'2.8. sz. Műv.Ház'!Q50+'2.8. sz. Műv.Ház'!T50+'2.8. sz. Műv.Ház'!W50+'2.8. sz. Műv.Ház'!Z50+'2.9. sz. Szivárvány Ó.'!E50+'2.9. sz. Szivárvány Ó.'!H50+'2.9. sz. Szivárvány Ó.'!K50+'2.9. sz. Szivárvány Ó.'!N50+'2.9. sz. Szivárvány Ó.'!Q50+'2.9. sz. Szivárvány Ó.'!T50+'2.9. sz. Szivárvány Ó.'!W50</f>
        <v>338</v>
      </c>
      <c r="F50" s="6">
        <f>+'2.1. sz. PMH'!AQ50+'2.2. sz. Hétszínvirág Óvoda'!AD50+'2.3. sz. Mese Óvoda'!X50+'2.4. sz. Bölcsőde'!U50+'2.5. sz. Gyermekjóléti'!AA50+'2.6 sz. Területi'!BL50+'2.7. sz. Könyvtár'!AD50+'2.8. sz. Műv.Ház'!AE50+'2.9. sz. Szivárvány Ó.'!AA50</f>
        <v>313.89999999999998</v>
      </c>
      <c r="G50" s="7">
        <f>SUMIFS('2.1. sz. PMH'!D50:AL50,'2.1. sz. PMH'!$D$5:$AL$5,"önként vállalt",'2.1. sz. PMH'!$D$3:$AL$3,"Eredeti előirányzat")+SUMIFS('2.2. sz. Hétszínvirág Óvoda'!D50:Z50,'2.2. sz. Hétszínvirág Óvoda'!$D$5:$Z$5,"önként vállalt",'2.2. sz. Hétszínvirág Óvoda'!$D$3:$Z$3,"Eredeti előirányzat")+SUMIFS('2.3. sz. Mese Óvoda'!D50:T50,'2.3. sz. Mese Óvoda'!$D$5:$T$5,"önként vállalt",'2.3. sz. Mese Óvoda'!$D$3:$T$3,"Eredeti előirányzat")+SUMIFS('2.4. sz. Bölcsőde'!D50:Q50,'2.4. sz. Bölcsőde'!$D$5:$Q$5,"önként vállalt",'2.4. sz. Bölcsőde'!$D$3:$Q$3,"Eredeti előirányzat")+SUMIFS('2.5. sz. Gyermekjóléti'!D50:W50,'2.5. sz. Gyermekjóléti'!$D$5:$W$5,"önként vállalt",'2.5. sz. Gyermekjóléti'!$D$3:$W$3,"Eredeti előirányzat")+SUMIFS('2.6 sz. Területi'!D50:BG50,'2.6 sz. Területi'!$D$5:$BG$5,"önként vállalt",'2.6 sz. Területi'!$D$3:$BG$3,"Eredeti előirányzat")+SUMIFS('2.7. sz. Könyvtár'!D50:Z50,'2.7. sz. Könyvtár'!$D$5:$Z$5,"önként vállalt",'2.7. sz. Könyvtár'!$D$3:$Z$3,"Eredeti előirányzat")+SUMIFS('2.8. sz. Műv.Ház'!D50:Z50,'2.8. sz. Műv.Ház'!$D$5:$Z$5,"önként vállalt",'2.8. sz. Műv.Ház'!$D$3:$Z$3,"Eredeti előirányzat")+SUMIFS('2.9. sz. Szivárvány Ó.'!D50:W50,'2.9. sz. Szivárvány Ó.'!$D$5:$W$5,"önként vállalt",'2.9. sz. Szivárvány Ó.'!$D$3:$W$3,"Eredeti előirányzat")</f>
        <v>11</v>
      </c>
      <c r="H50" s="6">
        <f>+'2.6 sz. Területi'!N50+'2.6 sz. Területi'!Q50+'2.6 sz. Területi'!Z50+'2.6 sz. Területi'!AC50+'2.6 sz. Területi'!AF50+'2.8. sz. Műv.Ház'!N50</f>
        <v>11</v>
      </c>
      <c r="I50" s="6">
        <f>+'2.6 sz. Területi'!BM50+'2.8. sz. Műv.Ház'!AF50</f>
        <v>11.2</v>
      </c>
      <c r="J50" s="7">
        <f>SUMIFS('2.1. sz. PMH'!D50:AL50,'2.1. sz. PMH'!$D$5:$AL$5,"államigazgatási",'2.1. sz. PMH'!$D$3:$AL$3,"Eredeti előirányzat")+SUMIFS('2.2. sz. Hétszínvirág Óvoda'!D50:Z50,'2.2. sz. Hétszínvirág Óvoda'!$D$5:$Z$5,"államigazgatási",'2.2. sz. Hétszínvirág Óvoda'!$D$3:$Z$3,"Eredeti előirányzat")+SUMIFS('2.3. sz. Mese Óvoda'!D50:T50,'2.3. sz. Mese Óvoda'!$D$5:$T$5,"államigazgatási",'2.3. sz. Mese Óvoda'!$D$3:$T$3,"Eredeti előirányzat")+SUMIFS('2.4. sz. Bölcsőde'!D50:Q50,'2.4. sz. Bölcsőde'!$D$5:$Q$5,"államigazgatási",'2.4. sz. Bölcsőde'!$D$3:$Q$3,"Eredeti előirányzat")+SUMIFS('2.5. sz. Gyermekjóléti'!D50:W50,'2.5. sz. Gyermekjóléti'!$D$5:$W$5,"államigazgatási",'2.5. sz. Gyermekjóléti'!$D$3:$W$3,"Eredeti előirányzat")+SUMIFS('2.6 sz. Területi'!D50:BG50,'2.6 sz. Területi'!$D$5:$BG$5,"államigazgatási",'2.6 sz. Területi'!$D$3:$BG$3,"Eredeti előirányzat")+SUMIFS('2.7. sz. Könyvtár'!D50:Z50,'2.7. sz. Könyvtár'!$D$5:$Z$5,"államigazgatási",'2.7. sz. Könyvtár'!$D$3:$Z$3,"Eredeti előirányzat")+SUMIFS('2.8. sz. Műv.Ház'!D50:Z50,'2.8. sz. Műv.Ház'!$D$5:$Z$5,"államigazgatási",'2.8. sz. Műv.Ház'!$D$3:$Z$3,"Eredeti előirányzat")+SUMIFS('2.9. sz. Szivárvány Ó.'!D50:W50,'2.9. sz. Szivárvány Ó.'!$D$5:$W$5,"államigazgatási",'2.9. sz. Szivárvány Ó.'!$D$3:$W$3,"Eredeti előirányzat")</f>
        <v>9</v>
      </c>
      <c r="K50" s="6">
        <f>+'2.1. sz. PMH'!K50+'2.1. sz. PMH'!N50+'2.1. sz. PMH'!Q50+'2.1. sz. PMH'!T50+'2.1. sz. PMH'!Z50+'2.1. sz. PMH'!AC50+'2.1. sz. PMH'!AF50+'2.1. sz. PMH'!AI50</f>
        <v>9</v>
      </c>
      <c r="L50" s="6">
        <f>+'2.1. sz. PMH'!AS50</f>
        <v>8.8000000000000007</v>
      </c>
      <c r="M50" s="6">
        <f t="shared" si="0"/>
        <v>358</v>
      </c>
      <c r="N50" s="569">
        <f t="shared" si="1"/>
        <v>358</v>
      </c>
      <c r="O50" s="873">
        <f t="shared" si="2"/>
        <v>333.9</v>
      </c>
      <c r="Q50" s="19">
        <f>+'2.1. sz. PMH'!AP50+'2.2. sz. Hétszínvirág Óvoda'!AD50+'2.3. sz. Mese Óvoda'!X50+'2.4. sz. Bölcsőde'!U50+'2.5. sz. Gyermekjóléti'!AA50+'2.6 sz. Területi'!BK50+'2.7. sz. Könyvtár'!AD50+'2.8. sz. Műv.Ház'!AD50+'2.9. sz. Szivárvány Ó.'!AA50</f>
        <v>333.9</v>
      </c>
      <c r="R50" s="80">
        <f t="shared" si="3"/>
        <v>0</v>
      </c>
      <c r="U50" s="80">
        <f>+O38+O39-O49</f>
        <v>0</v>
      </c>
    </row>
    <row r="51" spans="1:21" ht="23.25" customHeight="1" x14ac:dyDescent="0.25">
      <c r="A51" s="25" t="s">
        <v>286</v>
      </c>
      <c r="B51" s="46" t="s">
        <v>964</v>
      </c>
      <c r="C51" s="172"/>
      <c r="D51" s="6">
        <f>SUMIFS('2.1. sz. PMH'!D51:AL51,'2.1. sz. PMH'!$D$5:$AL$5,"kötelező",'2.1. sz. PMH'!$D$3:$AL$3,"Eredeti előirányzat")+SUMIFS('2.2. sz. Hétszínvirág Óvoda'!D51:Z51,'2.2. sz. Hétszínvirág Óvoda'!$D$5:$Z$5,"kötelező",'2.2. sz. Hétszínvirág Óvoda'!$D$3:$Z$3,"Eredeti előirányzat")+SUMIFS('2.3. sz. Mese Óvoda'!D51:T51,'2.3. sz. Mese Óvoda'!$D$5:$T$5,"kötelező",'2.3. sz. Mese Óvoda'!$D$3:$T$3,"Eredeti előirányzat")+SUMIFS('2.4. sz. Bölcsőde'!D51:Q51,'2.4. sz. Bölcsőde'!$D$5:$Q$5,"kötelező",'2.4. sz. Bölcsőde'!$D$3:$Q$3,"Eredeti előirányzat")+SUMIFS('2.5. sz. Gyermekjóléti'!D51:W51,'2.5. sz. Gyermekjóléti'!$D$5:$W$5,"kötelező",'2.5. sz. Gyermekjóléti'!$D$3:$W$3,"Eredeti előirányzat")+SUMIFS('2.6 sz. Területi'!D51:BG51,'2.6 sz. Területi'!$D$5:$BG$5,"kötelező",'2.6 sz. Területi'!$D$3:$BG$3,"Eredeti előirányzat")+SUMIFS('2.7. sz. Könyvtár'!D51:Z51,'2.7. sz. Könyvtár'!$D$5:$Z$5,"kötelező",'2.7. sz. Könyvtár'!$D$3:$Z$3,"Eredeti előirányzat")+SUMIFS('2.8. sz. Műv.Ház'!D51:Z51,'2.8. sz. Műv.Ház'!$D$5:$Z$5,"kötelező",'2.8. sz. Műv.Ház'!$D$3:$Z$3,"Eredeti előirányzat")+SUMIFS('2.9. sz. Szivárvány Ó.'!D51:W51,'2.9. sz. Szivárvány Ó.'!$D$5:$W$5,"kötelező",'2.9. sz. Szivárvány Ó.'!$D$3:$W$3,"Eredeti előirányzat")</f>
        <v>0</v>
      </c>
      <c r="E51" s="6">
        <f>+'2.1. sz. PMH'!E51+'2.1. sz. PMH'!H51+'2.1. sz. PMH'!W51+'2.1. sz. PMH'!AL51+'2.2. sz. Hétszínvirág Óvoda'!E51+'2.2. sz. Hétszínvirág Óvoda'!H51+'2.2. sz. Hétszínvirág Óvoda'!K51+'2.2. sz. Hétszínvirág Óvoda'!N51+'2.2. sz. Hétszínvirág Óvoda'!Q51+'2.2. sz. Hétszínvirág Óvoda'!T51+'2.2. sz. Hétszínvirág Óvoda'!W51+'2.2. sz. Hétszínvirág Óvoda'!Z51+'2.3. sz. Mese Óvoda'!E51+'2.3. sz. Mese Óvoda'!H51+'2.3. sz. Mese Óvoda'!K51+'2.3. sz. Mese Óvoda'!N51+'2.3. sz. Mese Óvoda'!Q51+'2.3. sz. Mese Óvoda'!T51+'2.4. sz. Bölcsőde'!E51+'2.4. sz. Bölcsőde'!H51+'2.4. sz. Bölcsőde'!K51+'2.4. sz. Bölcsőde'!N51+'2.4. sz. Bölcsőde'!Q51+'2.5. sz. Gyermekjóléti'!E51+'2.5. sz. Gyermekjóléti'!H51+'2.5. sz. Gyermekjóléti'!K51+'2.5. sz. Gyermekjóléti'!N51+'2.5. sz. Gyermekjóléti'!Q51+'2.5. sz. Gyermekjóléti'!T51+'2.5. sz. Gyermekjóléti'!W51+'2.6 sz. Területi'!E51+'2.6 sz. Területi'!H51+'2.6 sz. Területi'!K51+'2.6 sz. Területi'!T51+'2.6 sz. Területi'!W51+'2.6 sz. Területi'!AI51+'2.6 sz. Területi'!AL51+'2.6 sz. Területi'!AO51+'2.6 sz. Területi'!AR51+'2.6 sz. Területi'!AU51+'2.6 sz. Területi'!AX51+'2.6 sz. Területi'!BA51+'2.6 sz. Területi'!BD51+'2.6 sz. Területi'!BG51+'2.7. sz. Könyvtár'!E51+'2.7. sz. Könyvtár'!H51+'2.7. sz. Könyvtár'!K51+'2.7. sz. Könyvtár'!N51+'2.7. sz. Könyvtár'!Q51+'2.7. sz. Könyvtár'!T51+'2.7. sz. Könyvtár'!W51+'2.7. sz. Könyvtár'!Z51+'2.8. sz. Műv.Ház'!E51+'2.8. sz. Műv.Ház'!H51+'2.8. sz. Műv.Ház'!K51+'2.8. sz. Műv.Ház'!Q51+'2.8. sz. Műv.Ház'!T51+'2.8. sz. Műv.Ház'!W51+'2.8. sz. Műv.Ház'!Z51+'2.9. sz. Szivárvány Ó.'!E51+'2.9. sz. Szivárvány Ó.'!H51+'2.9. sz. Szivárvány Ó.'!K51+'2.9. sz. Szivárvány Ó.'!N51+'2.9. sz. Szivárvány Ó.'!Q51+'2.9. sz. Szivárvány Ó.'!T51+'2.9. sz. Szivárvány Ó.'!W51</f>
        <v>0</v>
      </c>
      <c r="F51" s="6">
        <f>+'2.1. sz. PMH'!AQ51+'2.2. sz. Hétszínvirág Óvoda'!AD51+'2.3. sz. Mese Óvoda'!X51+'2.4. sz. Bölcsőde'!U51+'2.5. sz. Gyermekjóléti'!AA51+'2.6 sz. Területi'!BL51+'2.7. sz. Könyvtár'!AD51+'2.8. sz. Műv.Ház'!AE51+'2.9. sz. Szivárvány Ó.'!AA51</f>
        <v>0</v>
      </c>
      <c r="G51" s="6">
        <f>SUMIFS('2.1. sz. PMH'!D51:AL51,'2.1. sz. PMH'!$D$5:$AL$5,"önként vállalt",'2.1. sz. PMH'!$D$3:$AL$3,"Eredeti előirányzat")+SUMIFS('2.2. sz. Hétszínvirág Óvoda'!D51:Z51,'2.2. sz. Hétszínvirág Óvoda'!$D$5:$Z$5,"önként vállalt",'2.2. sz. Hétszínvirág Óvoda'!$D$3:$Z$3,"Eredeti előirányzat")+SUMIFS('2.3. sz. Mese Óvoda'!D51:T51,'2.3. sz. Mese Óvoda'!$D$5:$T$5,"önként vállalt",'2.3. sz. Mese Óvoda'!$D$3:$T$3,"Eredeti előirányzat")+SUMIFS('2.4. sz. Bölcsőde'!D51:Q51,'2.4. sz. Bölcsőde'!$D$5:$Q$5,"önként vállalt",'2.4. sz. Bölcsőde'!$D$3:$Q$3,"Eredeti előirányzat")+SUMIFS('2.5. sz. Gyermekjóléti'!D51:W51,'2.5. sz. Gyermekjóléti'!$D$5:$W$5,"önként vállalt",'2.5. sz. Gyermekjóléti'!$D$3:$W$3,"Eredeti előirányzat")+SUMIFS('2.6 sz. Területi'!D51:BG51,'2.6 sz. Területi'!$D$5:$BG$5,"önként vállalt",'2.6 sz. Területi'!$D$3:$BG$3,"Eredeti előirányzat")+SUMIFS('2.7. sz. Könyvtár'!D51:Z51,'2.7. sz. Könyvtár'!$D$5:$Z$5,"önként vállalt",'2.7. sz. Könyvtár'!$D$3:$Z$3,"Eredeti előirányzat")+SUMIFS('2.8. sz. Műv.Ház'!D51:Z51,'2.8. sz. Műv.Ház'!$D$5:$Z$5,"önként vállalt",'2.8. sz. Műv.Ház'!$D$3:$Z$3,"Eredeti előirányzat")+SUMIFS('2.9. sz. Szivárvány Ó.'!D51:W51,'2.9. sz. Szivárvány Ó.'!$D$5:$W$5,"önként vállalt",'2.9. sz. Szivárvány Ó.'!$D$3:$W$3,"Eredeti előirányzat")</f>
        <v>0</v>
      </c>
      <c r="H51" s="6">
        <f>+'2.6 sz. Területi'!N51+'2.6 sz. Területi'!Q51+'2.6 sz. Területi'!Z51+'2.6 sz. Területi'!AC51+'2.6 sz. Területi'!AF51+'2.8. sz. Műv.Ház'!N51</f>
        <v>0</v>
      </c>
      <c r="I51" s="6">
        <f>+'2.6 sz. Területi'!BM51+'2.8. sz. Műv.Ház'!AF51</f>
        <v>0</v>
      </c>
      <c r="J51" s="6">
        <f>SUMIFS('2.1. sz. PMH'!D51:AK51,'2.1. sz. PMH'!$D$5:$AK$5,"államigazgatási")+SUMIFS('2.2. sz. Hétszínvirág Óvoda'!D51:Y51,'2.2. sz. Hétszínvirág Óvoda'!$D$5:$Y$5,"államigazgatási")+SUMIFS('2.3. sz. Mese Óvoda'!D51:P51,'2.3. sz. Mese Óvoda'!$D$5:$P$5,"államigazgatási")+SUMIFS('2.4. sz. Bölcsőde'!D51:P51,'2.4. sz. Bölcsőde'!$D$5:$P$5,"államigazgatási")+SUMIFS('2.5. sz. Gyermekjóléti'!D51:V51,'2.5. sz. Gyermekjóléti'!$D$5:$V$5,"államigazgatási")+SUMIFS('2.6 sz. Területi'!D51:BF51,'2.6 sz. Területi'!$D$5:$BF$5,"államigazgatási")+SUMIFS('2.7. sz. Könyvtár'!D51:Y51,'2.7. sz. Könyvtár'!$D$5:$Y$5,"államigazgatási")+SUMIFS('2.8. sz. Műv.Ház'!D51:Y51,'2.8. sz. Műv.Ház'!$D$5:$Y$5,"államigazgatási")+SUMIFS('2.9. sz. Szivárvány Ó.'!D51:V51,'2.9. sz. Szivárvány Ó.'!$D$5:$V$5,"államigazgatási")</f>
        <v>0</v>
      </c>
      <c r="K51" s="6">
        <f>+'2.1. sz. PMH'!K51+'2.1. sz. PMH'!N51+'2.1. sz. PMH'!Q51+'2.1. sz. PMH'!T51+'2.1. sz. PMH'!Z51+'2.1. sz. PMH'!AC51+'2.1. sz. PMH'!AF51+'2.1. sz. PMH'!AI51</f>
        <v>0</v>
      </c>
      <c r="L51" s="6">
        <f>+'2.1. sz. PMH'!AS51</f>
        <v>0</v>
      </c>
      <c r="M51" s="199"/>
      <c r="N51" s="569">
        <f t="shared" si="1"/>
        <v>0</v>
      </c>
      <c r="O51" s="569">
        <f t="shared" si="2"/>
        <v>0</v>
      </c>
      <c r="Q51" s="19">
        <f>+'2.1. sz. PMH'!AP51+'2.2. sz. Hétszínvirág Óvoda'!AD51+'2.3. sz. Mese Óvoda'!X51+'2.4. sz. Bölcsőde'!U51+'2.5. sz. Gyermekjóléti'!AA51+'2.6 sz. Területi'!BK51+'2.7. sz. Könyvtár'!AD51+'2.8. sz. Műv.Ház'!AD51+'2.9. sz. Szivárvány Ó.'!AA51</f>
        <v>0</v>
      </c>
      <c r="R51" s="80">
        <f t="shared" si="3"/>
        <v>0</v>
      </c>
      <c r="U51" s="80">
        <f>+O47+O48-O49</f>
        <v>0</v>
      </c>
    </row>
    <row r="52" spans="1:21" x14ac:dyDescent="0.25">
      <c r="A52" s="58"/>
      <c r="D52" s="17"/>
      <c r="E52" s="17"/>
      <c r="F52" s="17"/>
      <c r="G52" s="17"/>
      <c r="H52" s="17"/>
      <c r="I52" s="17"/>
      <c r="J52" s="17"/>
      <c r="K52" s="17"/>
      <c r="L52" s="17"/>
      <c r="M52" s="17"/>
    </row>
    <row r="53" spans="1:21" x14ac:dyDescent="0.25">
      <c r="D53" s="12"/>
      <c r="E53" s="12"/>
      <c r="F53" s="12"/>
      <c r="G53" s="12"/>
      <c r="H53" s="12"/>
      <c r="I53" s="12"/>
      <c r="J53" s="12"/>
      <c r="K53" s="12"/>
      <c r="L53" s="12"/>
      <c r="M53" s="12"/>
    </row>
    <row r="54" spans="1:21" ht="15" customHeight="1" x14ac:dyDescent="0.25">
      <c r="D54" s="12"/>
      <c r="E54" s="12"/>
      <c r="F54" s="12"/>
      <c r="G54" s="12"/>
      <c r="H54" s="12"/>
      <c r="I54" s="12"/>
      <c r="J54" s="12"/>
      <c r="K54" s="12"/>
      <c r="L54" s="12"/>
      <c r="M54" s="12"/>
    </row>
    <row r="55" spans="1:21" ht="20.45" customHeight="1" x14ac:dyDescent="0.3">
      <c r="M55" s="294">
        <f>+M49-M30</f>
        <v>0</v>
      </c>
      <c r="N55" s="294">
        <f>+N49-N30</f>
        <v>0</v>
      </c>
      <c r="O55" s="294"/>
    </row>
    <row r="56" spans="1:21" ht="18.75" x14ac:dyDescent="0.3">
      <c r="M56" s="525"/>
      <c r="N56" s="526"/>
      <c r="O56" s="526"/>
    </row>
    <row r="59" spans="1:21" x14ac:dyDescent="0.25">
      <c r="F59" s="12">
        <f>+F21-F19-F18-F17-F13-F12-F11-F10-F9</f>
        <v>0</v>
      </c>
      <c r="G59" s="12">
        <f t="shared" ref="G59:O59" si="4">+G21-G19-G18-G17-G13-G12-G11-G10-G9</f>
        <v>0</v>
      </c>
      <c r="H59" s="12">
        <f t="shared" si="4"/>
        <v>0</v>
      </c>
      <c r="I59" s="12">
        <f t="shared" si="4"/>
        <v>0</v>
      </c>
      <c r="J59" s="12">
        <f t="shared" si="4"/>
        <v>0</v>
      </c>
      <c r="K59" s="12">
        <f t="shared" si="4"/>
        <v>0</v>
      </c>
      <c r="L59" s="12">
        <f t="shared" si="4"/>
        <v>0</v>
      </c>
      <c r="M59" s="12">
        <f t="shared" si="4"/>
        <v>0</v>
      </c>
      <c r="N59" s="12">
        <f t="shared" si="4"/>
        <v>0</v>
      </c>
      <c r="O59" s="12">
        <f t="shared" si="4"/>
        <v>0</v>
      </c>
    </row>
  </sheetData>
  <mergeCells count="13">
    <mergeCell ref="D5:F7"/>
    <mergeCell ref="G5:I7"/>
    <mergeCell ref="J5:L7"/>
    <mergeCell ref="M5:O7"/>
    <mergeCell ref="A2:C3"/>
    <mergeCell ref="B5:C5"/>
    <mergeCell ref="B6:C6"/>
    <mergeCell ref="A4:A7"/>
    <mergeCell ref="B4:C4"/>
    <mergeCell ref="D2:F3"/>
    <mergeCell ref="G2:I3"/>
    <mergeCell ref="J2:L3"/>
    <mergeCell ref="M2:O3"/>
  </mergeCells>
  <phoneticPr fontId="44" type="noConversion"/>
  <printOptions horizontalCentered="1" verticalCentered="1"/>
  <pageMargins left="0.74803149606299213" right="0.74803149606299213" top="0.98425196850393704" bottom="0.98425196850393704" header="0.51181102362204722" footer="0.51181102362204722"/>
  <pageSetup paperSize="9" scale="50" orientation="portrait" horizontalDpi="200" verticalDpi="200" r:id="rId1"/>
  <headerFooter alignWithMargins="0">
    <oddHeader>&amp;C2022. évi zárszámadás&amp;R&amp;A</oddHeader>
    <oddFooter>&amp;C&amp;P/&amp;N</oddFooter>
  </headerFooter>
  <colBreaks count="3" manualBreakCount="3">
    <brk id="6" max="50" man="1"/>
    <brk id="9" min="1" max="50" man="1"/>
    <brk id="12" max="5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sheetPr>
  <dimension ref="A1:AE72"/>
  <sheetViews>
    <sheetView tabSelected="1" view="pageBreakPreview" zoomScale="70" zoomScaleNormal="80" zoomScaleSheetLayoutView="70" workbookViewId="0">
      <pane xSplit="3" ySplit="7" topLeftCell="J8" activePane="bottomRight" state="frozen"/>
      <selection activeCell="Y17" sqref="Y17"/>
      <selection pane="topRight" activeCell="Y17" sqref="Y17"/>
      <selection pane="bottomLeft" activeCell="Y17" sqref="Y17"/>
      <selection pane="bottomRight" activeCell="R20" sqref="R20"/>
    </sheetView>
  </sheetViews>
  <sheetFormatPr defaultColWidth="11.140625" defaultRowHeight="15.75" x14ac:dyDescent="0.25"/>
  <cols>
    <col min="1" max="1" width="7.140625" style="5" customWidth="1"/>
    <col min="2" max="2" width="71.28515625" style="4" customWidth="1"/>
    <col min="3" max="3" width="7.28515625" style="4" customWidth="1"/>
    <col min="4" max="4" width="17.85546875" style="4" customWidth="1"/>
    <col min="5" max="5" width="19.5703125" style="4" customWidth="1"/>
    <col min="6" max="6" width="20.42578125" style="4" customWidth="1"/>
    <col min="7" max="7" width="19.140625" style="4" customWidth="1"/>
    <col min="8" max="8" width="19.7109375" style="4" customWidth="1"/>
    <col min="9" max="9" width="20.140625" style="4" customWidth="1"/>
    <col min="10" max="10" width="19.5703125" style="4" customWidth="1"/>
    <col min="11" max="11" width="19.140625" style="4" customWidth="1"/>
    <col min="12" max="12" width="18.42578125" style="4" customWidth="1"/>
    <col min="13" max="14" width="19.42578125" style="4" customWidth="1"/>
    <col min="15" max="15" width="19.5703125" style="4" customWidth="1"/>
    <col min="16" max="16" width="17" style="4" customWidth="1"/>
    <col min="17" max="18" width="17.140625" style="4" customWidth="1"/>
    <col min="19" max="19" width="20.28515625" style="4" bestFit="1" customWidth="1"/>
    <col min="20" max="20" width="19" style="4" customWidth="1"/>
    <col min="21" max="21" width="18.140625" style="4" customWidth="1"/>
    <col min="22" max="22" width="19.5703125" style="4" bestFit="1" customWidth="1"/>
    <col min="23" max="23" width="9.140625" style="4" customWidth="1"/>
    <col min="24" max="24" width="4.28515625" style="4" customWidth="1"/>
    <col min="25" max="25" width="18.28515625" style="4" customWidth="1"/>
    <col min="26" max="26" width="3.5703125" style="4" customWidth="1"/>
    <col min="27" max="27" width="15.140625" style="4" customWidth="1"/>
    <col min="28" max="28" width="11.7109375" style="4" customWidth="1"/>
    <col min="29" max="31" width="9.140625" style="4" customWidth="1"/>
    <col min="32" max="32" width="7.140625" style="4" customWidth="1"/>
    <col min="33" max="33" width="58.28515625" style="4" bestFit="1" customWidth="1"/>
    <col min="34" max="34" width="6.85546875" style="4" bestFit="1" customWidth="1"/>
    <col min="35" max="35" width="11.28515625" style="4" customWidth="1"/>
    <col min="36" max="36" width="9.42578125" style="4" customWidth="1"/>
    <col min="37" max="37" width="12.7109375" style="4" customWidth="1"/>
    <col min="38" max="38" width="14.7109375" style="4" customWidth="1"/>
    <col min="39" max="44" width="13" style="4" customWidth="1"/>
    <col min="45" max="45" width="6.85546875" style="4" customWidth="1"/>
    <col min="46" max="46" width="15.7109375" style="4" customWidth="1"/>
    <col min="47" max="48" width="11.140625" style="4" bestFit="1" customWidth="1"/>
    <col min="49" max="49" width="15.42578125" style="4" customWidth="1"/>
    <col min="50" max="50" width="13.7109375" style="4" customWidth="1"/>
    <col min="51" max="51" width="12.85546875" style="4" customWidth="1"/>
    <col min="52" max="52" width="14.140625" style="4" bestFit="1" customWidth="1"/>
    <col min="53" max="53" width="14.140625" style="4" customWidth="1"/>
    <col min="54" max="54" width="14.140625" style="4" bestFit="1" customWidth="1"/>
    <col min="55" max="55" width="12.42578125" style="4" customWidth="1"/>
    <col min="56" max="56" width="11.140625" style="4" bestFit="1" customWidth="1"/>
    <col min="57" max="57" width="15.140625" style="4" bestFit="1" customWidth="1"/>
    <col min="58" max="58" width="11.140625" style="4" bestFit="1" customWidth="1"/>
    <col min="59" max="59" width="12.42578125" style="4" customWidth="1"/>
    <col min="60" max="60" width="12.7109375" style="4" customWidth="1"/>
    <col min="61" max="61" width="12.28515625" style="4" customWidth="1"/>
    <col min="62" max="62" width="14.28515625" style="4" customWidth="1"/>
    <col min="63" max="64" width="14.140625" style="4" customWidth="1"/>
    <col min="65" max="65" width="15.140625" style="4" bestFit="1" customWidth="1"/>
    <col min="66" max="66" width="12.7109375" style="4" customWidth="1"/>
    <col min="67" max="67" width="12.28515625" style="4" customWidth="1"/>
    <col min="68" max="68" width="13.28515625" style="4" customWidth="1"/>
    <col min="69" max="70" width="11.140625" style="4" bestFit="1" customWidth="1"/>
    <col min="71" max="71" width="15.28515625" style="4" customWidth="1"/>
    <col min="72" max="74" width="13.7109375" style="4" customWidth="1"/>
    <col min="75" max="76" width="12.42578125" style="4" bestFit="1" customWidth="1"/>
    <col min="77" max="77" width="13.140625" style="4" bestFit="1" customWidth="1"/>
    <col min="78" max="78" width="14" style="4" customWidth="1"/>
    <col min="79" max="79" width="15" style="4" customWidth="1"/>
    <col min="80" max="80" width="13.85546875" style="4" customWidth="1"/>
    <col min="81" max="81" width="14.7109375" style="4" bestFit="1" customWidth="1"/>
    <col min="82" max="83" width="11.140625" style="4" bestFit="1" customWidth="1"/>
    <col min="84" max="84" width="11.140625" style="4" customWidth="1"/>
    <col min="85" max="87" width="11.140625" style="4" bestFit="1" customWidth="1"/>
    <col min="88" max="89" width="11.140625" style="4" customWidth="1"/>
    <col min="90" max="90" width="11.140625" style="4" bestFit="1" customWidth="1"/>
    <col min="91" max="93" width="11.140625" style="4" customWidth="1"/>
    <col min="94" max="16384" width="11.140625" style="4"/>
  </cols>
  <sheetData>
    <row r="1" spans="1:31" ht="19.5" customHeight="1" x14ac:dyDescent="0.25">
      <c r="A1" s="3"/>
      <c r="B1" s="3"/>
      <c r="C1" s="3"/>
      <c r="I1" s="36" t="s">
        <v>415</v>
      </c>
      <c r="M1" s="36"/>
      <c r="O1" s="36" t="s">
        <v>415</v>
      </c>
      <c r="R1" s="36" t="s">
        <v>415</v>
      </c>
    </row>
    <row r="2" spans="1:31" ht="33.75" customHeight="1" x14ac:dyDescent="0.25">
      <c r="A2" s="1115" t="s">
        <v>255</v>
      </c>
      <c r="B2" s="1116"/>
      <c r="C2" s="1117"/>
      <c r="D2" s="1109" t="s">
        <v>155</v>
      </c>
      <c r="E2" s="1110"/>
      <c r="F2" s="1110"/>
      <c r="G2" s="1110"/>
      <c r="H2" s="1110"/>
      <c r="I2" s="1111"/>
      <c r="J2" s="1109" t="s">
        <v>155</v>
      </c>
      <c r="K2" s="1110"/>
      <c r="L2" s="1110"/>
      <c r="M2" s="1110"/>
      <c r="N2" s="1110"/>
      <c r="O2" s="1111"/>
      <c r="P2" s="1112" t="s">
        <v>155</v>
      </c>
      <c r="Q2" s="1113"/>
      <c r="R2" s="1114"/>
    </row>
    <row r="3" spans="1:31" ht="38.25" customHeight="1" x14ac:dyDescent="0.25">
      <c r="A3" s="1118" t="s">
        <v>189</v>
      </c>
      <c r="B3" s="992" t="s">
        <v>247</v>
      </c>
      <c r="C3" s="992"/>
      <c r="D3" s="645" t="s">
        <v>274</v>
      </c>
      <c r="E3" s="645" t="s">
        <v>1074</v>
      </c>
      <c r="F3" s="645" t="s">
        <v>1546</v>
      </c>
      <c r="G3" s="645" t="s">
        <v>274</v>
      </c>
      <c r="H3" s="645" t="s">
        <v>1074</v>
      </c>
      <c r="I3" s="645" t="s">
        <v>1546</v>
      </c>
      <c r="J3" s="645" t="s">
        <v>274</v>
      </c>
      <c r="K3" s="645" t="s">
        <v>1074</v>
      </c>
      <c r="L3" s="645" t="s">
        <v>1546</v>
      </c>
      <c r="M3" s="645" t="s">
        <v>274</v>
      </c>
      <c r="N3" s="645" t="s">
        <v>1074</v>
      </c>
      <c r="O3" s="645" t="s">
        <v>1546</v>
      </c>
      <c r="P3" s="645" t="s">
        <v>274</v>
      </c>
      <c r="Q3" s="645" t="s">
        <v>1074</v>
      </c>
      <c r="R3" s="645" t="s">
        <v>1546</v>
      </c>
    </row>
    <row r="4" spans="1:31" ht="27" customHeight="1" x14ac:dyDescent="0.25">
      <c r="A4" s="1118"/>
      <c r="B4" s="992" t="s">
        <v>11</v>
      </c>
      <c r="C4" s="992"/>
      <c r="D4" s="1096" t="s">
        <v>225</v>
      </c>
      <c r="E4" s="1097"/>
      <c r="F4" s="1098"/>
      <c r="G4" s="1096" t="s">
        <v>327</v>
      </c>
      <c r="H4" s="1097" t="s">
        <v>327</v>
      </c>
      <c r="I4" s="1098"/>
      <c r="J4" s="1096" t="s">
        <v>227</v>
      </c>
      <c r="K4" s="1097" t="s">
        <v>227</v>
      </c>
      <c r="L4" s="1098"/>
      <c r="M4" s="1096" t="s">
        <v>246</v>
      </c>
      <c r="N4" s="1097" t="s">
        <v>246</v>
      </c>
      <c r="O4" s="1098"/>
      <c r="P4" s="1096" t="s">
        <v>2115</v>
      </c>
      <c r="Q4" s="1097" t="s">
        <v>1176</v>
      </c>
      <c r="R4" s="1098"/>
      <c r="S4" s="12">
        <f>+M8+M9+M10+M11+M12</f>
        <v>8502997555</v>
      </c>
    </row>
    <row r="5" spans="1:31" ht="25.5" customHeight="1" x14ac:dyDescent="0.25">
      <c r="A5" s="1118"/>
      <c r="B5" s="992" t="s">
        <v>646</v>
      </c>
      <c r="C5" s="992"/>
      <c r="D5" s="1099"/>
      <c r="E5" s="1100"/>
      <c r="F5" s="1101"/>
      <c r="G5" s="1099"/>
      <c r="H5" s="1100"/>
      <c r="I5" s="1101"/>
      <c r="J5" s="1099"/>
      <c r="K5" s="1100"/>
      <c r="L5" s="1101"/>
      <c r="M5" s="1099"/>
      <c r="N5" s="1100"/>
      <c r="O5" s="1101"/>
      <c r="P5" s="1099"/>
      <c r="Q5" s="1100"/>
      <c r="R5" s="1101"/>
      <c r="S5" s="12">
        <f>+M16+M17+M18</f>
        <v>2085504817</v>
      </c>
    </row>
    <row r="6" spans="1:31" ht="33.75" customHeight="1" x14ac:dyDescent="0.25">
      <c r="A6" s="1118"/>
      <c r="B6" s="83" t="s">
        <v>190</v>
      </c>
      <c r="C6" s="84" t="s">
        <v>248</v>
      </c>
      <c r="D6" s="1102"/>
      <c r="E6" s="1103"/>
      <c r="F6" s="1104"/>
      <c r="G6" s="1102"/>
      <c r="H6" s="1103"/>
      <c r="I6" s="1104"/>
      <c r="J6" s="1102"/>
      <c r="K6" s="1103"/>
      <c r="L6" s="1104"/>
      <c r="M6" s="1102"/>
      <c r="N6" s="1103"/>
      <c r="O6" s="1104"/>
      <c r="P6" s="1102"/>
      <c r="Q6" s="1103"/>
      <c r="R6" s="1104"/>
    </row>
    <row r="7" spans="1:31" ht="16.5" customHeight="1" x14ac:dyDescent="0.25">
      <c r="A7" s="381" t="s">
        <v>191</v>
      </c>
      <c r="B7" s="85" t="s">
        <v>192</v>
      </c>
      <c r="C7" s="85" t="s">
        <v>193</v>
      </c>
      <c r="D7" s="85" t="s">
        <v>194</v>
      </c>
      <c r="E7" s="85" t="s">
        <v>195</v>
      </c>
      <c r="F7" s="85" t="s">
        <v>196</v>
      </c>
      <c r="G7" s="85" t="s">
        <v>197</v>
      </c>
      <c r="H7" s="85" t="s">
        <v>198</v>
      </c>
      <c r="I7" s="85" t="s">
        <v>199</v>
      </c>
      <c r="J7" s="85" t="s">
        <v>200</v>
      </c>
      <c r="K7" s="85" t="s">
        <v>201</v>
      </c>
      <c r="L7" s="85" t="s">
        <v>228</v>
      </c>
      <c r="M7" s="85" t="s">
        <v>229</v>
      </c>
      <c r="N7" s="85" t="s">
        <v>230</v>
      </c>
      <c r="O7" s="85" t="s">
        <v>231</v>
      </c>
      <c r="P7" s="85" t="s">
        <v>232</v>
      </c>
      <c r="Q7" s="85" t="s">
        <v>233</v>
      </c>
      <c r="R7" s="85" t="s">
        <v>234</v>
      </c>
    </row>
    <row r="8" spans="1:31" ht="24.75" customHeight="1" x14ac:dyDescent="0.25">
      <c r="A8" s="382" t="s">
        <v>191</v>
      </c>
      <c r="B8" s="84" t="s">
        <v>330</v>
      </c>
      <c r="C8" s="1" t="s">
        <v>202</v>
      </c>
      <c r="D8" s="6">
        <f>+'1.b sz. Önkormányzat 2022.'!DK8+'2.10. sz. Intézmények összesen'!D9</f>
        <v>2326762862</v>
      </c>
      <c r="E8" s="6">
        <f>+'1.b sz. Önkormányzat 2022.'!DL8+'2.10. sz. Intézmények összesen'!E9</f>
        <v>2450035838</v>
      </c>
      <c r="F8" s="6">
        <f>+'2.10. sz. Intézmények összesen'!F9+'1.b sz. Önkormányzat 2022.'!DM8</f>
        <v>2158804194</v>
      </c>
      <c r="G8" s="6">
        <f>+'1.b sz. Önkormányzat 2022.'!DN8+'2.10. sz. Intézmények összesen'!G9</f>
        <v>138651682</v>
      </c>
      <c r="H8" s="6">
        <f>+'1.b sz. Önkormányzat 2022.'!DO8+'2.10. sz. Intézmények összesen'!H9</f>
        <v>147045245</v>
      </c>
      <c r="I8" s="6">
        <f>+'2.10. sz. Intézmények összesen'!I9+'1.b sz. Önkormányzat 2022.'!DP8</f>
        <v>128316225</v>
      </c>
      <c r="J8" s="6">
        <f>+'1.b sz. Önkormányzat 2022.'!DQ8+'2.10. sz. Intézmények összesen'!J9</f>
        <v>79297519</v>
      </c>
      <c r="K8" s="6">
        <f>+'1.b sz. Önkormányzat 2022.'!DR8+'2.10. sz. Intézmények összesen'!K9</f>
        <v>109414163</v>
      </c>
      <c r="L8" s="6">
        <f>+'2.10. sz. Intézmények összesen'!L9</f>
        <v>86126326</v>
      </c>
      <c r="M8" s="6">
        <f>D8+G8+J8</f>
        <v>2544712063</v>
      </c>
      <c r="N8" s="6">
        <f>E8+H8+K8</f>
        <v>2706495246</v>
      </c>
      <c r="O8" s="6">
        <f>+F8+I8+L8</f>
        <v>2373246745</v>
      </c>
      <c r="P8" s="6">
        <f>+'1.a sz. Önkormányzat 2022. '!LF8</f>
        <v>0</v>
      </c>
      <c r="Q8" s="6">
        <f>+'1.a sz. Önkormányzat 2022. '!LG8</f>
        <v>579760</v>
      </c>
      <c r="R8" s="6">
        <f>+'1.a sz. Önkormányzat 2022. '!LH8</f>
        <v>434820</v>
      </c>
      <c r="S8" s="12">
        <f t="shared" ref="S8:S25" si="0">+Q8-M8</f>
        <v>-2544132303</v>
      </c>
      <c r="T8" s="12">
        <f>+M8+M9+M10+M11+M12</f>
        <v>8502997555</v>
      </c>
      <c r="V8" s="12"/>
    </row>
    <row r="9" spans="1:31" s="2" customFormat="1" ht="24.75" customHeight="1" x14ac:dyDescent="0.25">
      <c r="A9" s="382" t="s">
        <v>192</v>
      </c>
      <c r="B9" s="86" t="s">
        <v>203</v>
      </c>
      <c r="C9" s="1" t="s">
        <v>204</v>
      </c>
      <c r="D9" s="6">
        <f>+'1.b sz. Önkormányzat 2022.'!DK9+'2.10. sz. Intézmények összesen'!D10</f>
        <v>350625129</v>
      </c>
      <c r="E9" s="6">
        <f>+'1.b sz. Önkormányzat 2022.'!DL9+'2.10. sz. Intézmények összesen'!E10</f>
        <v>364402664</v>
      </c>
      <c r="F9" s="6">
        <f>+'2.10. sz. Intézmények összesen'!F10+'1.b sz. Önkormányzat 2022.'!DM9</f>
        <v>310204906</v>
      </c>
      <c r="G9" s="6">
        <f>+'1.b sz. Önkormányzat 2022.'!DN9+'2.10. sz. Intézmények összesen'!G10</f>
        <v>18598225</v>
      </c>
      <c r="H9" s="6">
        <f>+'1.b sz. Önkormányzat 2022.'!DO9+'2.10. sz. Intézmények összesen'!H10</f>
        <v>21369384</v>
      </c>
      <c r="I9" s="6">
        <f>+'2.10. sz. Intézmények összesen'!I10+'1.b sz. Önkormányzat 2022.'!DP9</f>
        <v>18275635</v>
      </c>
      <c r="J9" s="6">
        <f>+'1.b sz. Önkormányzat 2022.'!DQ9+'2.10. sz. Intézmények összesen'!J10</f>
        <v>11123677</v>
      </c>
      <c r="K9" s="6">
        <f>+'1.b sz. Önkormányzat 2022.'!DR9+'2.10. sz. Intézmények összesen'!K10</f>
        <v>15203143</v>
      </c>
      <c r="L9" s="6">
        <f>+'2.10. sz. Intézmények összesen'!L10</f>
        <v>11407867</v>
      </c>
      <c r="M9" s="6">
        <f t="shared" ref="M9:M50" si="1">D9+G9+J9</f>
        <v>380347031</v>
      </c>
      <c r="N9" s="6">
        <f t="shared" ref="N9:N50" si="2">E9+H9+K9</f>
        <v>400975191</v>
      </c>
      <c r="O9" s="6">
        <f t="shared" ref="O9:O48" si="3">+F9+I9+L9</f>
        <v>339888408</v>
      </c>
      <c r="P9" s="6">
        <f>+'1.a sz. Önkormányzat 2022. '!LF9</f>
        <v>0</v>
      </c>
      <c r="Q9" s="6">
        <f>+'1.a sz. Önkormányzat 2022. '!LG9</f>
        <v>67832</v>
      </c>
      <c r="R9" s="6">
        <f>+'1.a sz. Önkormányzat 2022. '!LH9</f>
        <v>50874</v>
      </c>
      <c r="S9" s="12">
        <f t="shared" si="0"/>
        <v>-380279199</v>
      </c>
      <c r="T9" s="216">
        <f>+M16+M17+M18</f>
        <v>2085504817</v>
      </c>
    </row>
    <row r="10" spans="1:31" ht="24.75" customHeight="1" x14ac:dyDescent="0.25">
      <c r="A10" s="382" t="s">
        <v>193</v>
      </c>
      <c r="B10" s="86" t="s">
        <v>331</v>
      </c>
      <c r="C10" s="1" t="s">
        <v>205</v>
      </c>
      <c r="D10" s="6">
        <f>+'1.b sz. Önkormányzat 2022.'!DK10+'2.10. sz. Intézmények összesen'!D11</f>
        <v>3114848531</v>
      </c>
      <c r="E10" s="6">
        <f>+'1.b sz. Önkormányzat 2022.'!DL10+'2.10. sz. Intézmények összesen'!E11</f>
        <v>3698505322</v>
      </c>
      <c r="F10" s="6">
        <f>+'2.10. sz. Intézmények összesen'!F11+'1.b sz. Önkormányzat 2022.'!DM10</f>
        <v>3002138566</v>
      </c>
      <c r="G10" s="6">
        <f>+'1.b sz. Önkormányzat 2022.'!DN10+'2.10. sz. Intézmények összesen'!G11</f>
        <v>306516581</v>
      </c>
      <c r="H10" s="6">
        <f>+'1.b sz. Önkormányzat 2022.'!DO10+'2.10. sz. Intézmények összesen'!H11</f>
        <v>452952873</v>
      </c>
      <c r="I10" s="6">
        <f>+'2.10. sz. Intézmények összesen'!I11+'1.b sz. Önkormányzat 2022.'!DP10</f>
        <v>341693336</v>
      </c>
      <c r="J10" s="6">
        <f>+'1.b sz. Önkormányzat 2022.'!DQ10+'2.10. sz. Intézmények összesen'!J11</f>
        <v>31296481</v>
      </c>
      <c r="K10" s="6">
        <f>+'1.b sz. Önkormányzat 2022.'!DR10+'2.10. sz. Intézmények összesen'!K11</f>
        <v>33208823</v>
      </c>
      <c r="L10" s="6">
        <f>+'2.10. sz. Intézmények összesen'!L11</f>
        <v>22929806</v>
      </c>
      <c r="M10" s="6">
        <f t="shared" si="1"/>
        <v>3452661593</v>
      </c>
      <c r="N10" s="6">
        <f t="shared" si="2"/>
        <v>4184667018</v>
      </c>
      <c r="O10" s="681">
        <f t="shared" si="3"/>
        <v>3366761708</v>
      </c>
      <c r="P10" s="6">
        <f>+'1.a sz. Önkormányzat 2022. '!LF10</f>
        <v>0</v>
      </c>
      <c r="Q10" s="6">
        <f>+'1.a sz. Önkormányzat 2022. '!LG10</f>
        <v>7499350</v>
      </c>
      <c r="R10" s="6">
        <f>+'1.a sz. Önkormányzat 2022. '!LH10</f>
        <v>7499350</v>
      </c>
      <c r="S10" s="12">
        <f t="shared" si="0"/>
        <v>-3445162243</v>
      </c>
      <c r="U10" s="12">
        <f>+T10-M10</f>
        <v>-3452661593</v>
      </c>
      <c r="W10" s="527"/>
      <c r="X10" s="528"/>
      <c r="Y10" s="528"/>
      <c r="Z10" s="528"/>
      <c r="AA10" s="528"/>
      <c r="AB10" s="528"/>
      <c r="AC10" s="528"/>
      <c r="AD10" s="528"/>
      <c r="AE10" s="529"/>
    </row>
    <row r="11" spans="1:31" ht="24.75" customHeight="1" x14ac:dyDescent="0.3">
      <c r="A11" s="382" t="s">
        <v>194</v>
      </c>
      <c r="B11" s="87" t="s">
        <v>332</v>
      </c>
      <c r="C11" s="1" t="s">
        <v>206</v>
      </c>
      <c r="D11" s="6">
        <f>+'1.b sz. Önkormányzat 2022.'!DK11+'2.10. sz. Intézmények összesen'!D12</f>
        <v>44000000</v>
      </c>
      <c r="E11" s="6">
        <f>+'1.b sz. Önkormányzat 2022.'!DL11+'2.10. sz. Intézmények összesen'!E12</f>
        <v>47819430</v>
      </c>
      <c r="F11" s="6">
        <f>+'2.10. sz. Intézmények összesen'!F12+'1.b sz. Önkormányzat 2022.'!DM11</f>
        <v>31814129</v>
      </c>
      <c r="G11" s="6">
        <f>+'1.b sz. Önkormányzat 2022.'!DN11+'2.10. sz. Intézmények összesen'!G12</f>
        <v>0</v>
      </c>
      <c r="H11" s="6">
        <f>+'1.b sz. Önkormányzat 2022.'!DO11+'2.10. sz. Intézmények összesen'!H12</f>
        <v>0</v>
      </c>
      <c r="I11" s="6">
        <f>+'2.10. sz. Intézmények összesen'!I12+'1.b sz. Önkormányzat 2022.'!DP11</f>
        <v>0</v>
      </c>
      <c r="J11" s="6">
        <f>+'1.b sz. Önkormányzat 2022.'!DQ11+'2.10. sz. Intézmények összesen'!J12</f>
        <v>0</v>
      </c>
      <c r="K11" s="6">
        <f>+'1.b sz. Önkormányzat 2022.'!DR11+'2.10. sz. Intézmények összesen'!K12</f>
        <v>0</v>
      </c>
      <c r="L11" s="6">
        <f>+'2.10. sz. Intézmények összesen'!L12</f>
        <v>0</v>
      </c>
      <c r="M11" s="6">
        <f t="shared" si="1"/>
        <v>44000000</v>
      </c>
      <c r="N11" s="6">
        <f t="shared" si="2"/>
        <v>47819430</v>
      </c>
      <c r="O11" s="6">
        <f t="shared" si="3"/>
        <v>31814129</v>
      </c>
      <c r="P11" s="6">
        <f>+'1.a sz. Önkormányzat 2022. '!LF11</f>
        <v>0</v>
      </c>
      <c r="Q11" s="6">
        <f>+'1.a sz. Önkormányzat 2022. '!LG11</f>
        <v>0</v>
      </c>
      <c r="R11" s="6">
        <f>+'1.a sz. Önkormányzat 2022. '!LH11</f>
        <v>0</v>
      </c>
      <c r="S11" s="12">
        <f t="shared" si="0"/>
        <v>-44000000</v>
      </c>
      <c r="U11" s="12">
        <f>+T11-M11</f>
        <v>-44000000</v>
      </c>
      <c r="W11" s="530"/>
      <c r="Y11" s="531">
        <f>+'4.sz.Felhalm.c.pe.átadás'!AJ26:AJ26</f>
        <v>34271261</v>
      </c>
      <c r="AA11" s="532">
        <f>+Y11-N19</f>
        <v>0</v>
      </c>
      <c r="AB11" s="533" t="s">
        <v>1180</v>
      </c>
      <c r="AC11" s="533"/>
      <c r="AE11" s="534"/>
    </row>
    <row r="12" spans="1:31" ht="24.75" customHeight="1" x14ac:dyDescent="0.3">
      <c r="A12" s="382" t="s">
        <v>195</v>
      </c>
      <c r="B12" s="87" t="s">
        <v>237</v>
      </c>
      <c r="C12" s="1" t="s">
        <v>207</v>
      </c>
      <c r="D12" s="6">
        <f>+'1.b sz. Önkormányzat 2022.'!DK12+'2.10. sz. Intézmények összesen'!D13</f>
        <v>1891458171</v>
      </c>
      <c r="E12" s="6">
        <f>+'1.b sz. Önkormányzat 2022.'!DL12+'2.10. sz. Intézmények összesen'!E13</f>
        <v>3053016103</v>
      </c>
      <c r="F12" s="6">
        <f>+'2.10. sz. Intézmények összesen'!F13+'1.b sz. Önkormányzat 2022.'!DM12</f>
        <v>1171942844</v>
      </c>
      <c r="G12" s="6">
        <f>+'1.b sz. Önkormányzat 2022.'!DN12+'2.10. sz. Intézmények összesen'!G13</f>
        <v>189818697</v>
      </c>
      <c r="H12" s="6">
        <f>+'1.b sz. Önkormányzat 2022.'!DO12+'2.10. sz. Intézmények összesen'!H13</f>
        <v>215713864</v>
      </c>
      <c r="I12" s="6">
        <f>+'2.10. sz. Intézmények összesen'!I13+'1.b sz. Önkormányzat 2022.'!DP12</f>
        <v>215513864</v>
      </c>
      <c r="J12" s="6">
        <f>+'1.b sz. Önkormányzat 2022.'!DQ12+'2.10. sz. Intézmények összesen'!J13</f>
        <v>0</v>
      </c>
      <c r="K12" s="6">
        <f>+'1.b sz. Önkormányzat 2022.'!DR12+'2.10. sz. Intézmények összesen'!K13</f>
        <v>0</v>
      </c>
      <c r="L12" s="6">
        <f>+'2.10. sz. Intézmények összesen'!L13</f>
        <v>0</v>
      </c>
      <c r="M12" s="6">
        <f t="shared" si="1"/>
        <v>2081276868</v>
      </c>
      <c r="N12" s="6">
        <f t="shared" si="2"/>
        <v>3268729967</v>
      </c>
      <c r="O12" s="6">
        <f t="shared" si="3"/>
        <v>1387456708</v>
      </c>
      <c r="P12" s="6">
        <f>+'1.a sz. Önkormányzat 2022. '!LF12</f>
        <v>0</v>
      </c>
      <c r="Q12" s="6">
        <f>+'1.a sz. Önkormányzat 2022. '!LG12</f>
        <v>0</v>
      </c>
      <c r="R12" s="6">
        <f>+'1.a sz. Önkormányzat 2022. '!LH12</f>
        <v>0</v>
      </c>
      <c r="S12" s="12">
        <f t="shared" si="0"/>
        <v>-2081276868</v>
      </c>
      <c r="U12" s="12"/>
      <c r="W12" s="530"/>
      <c r="Y12" s="531">
        <f>+'5.sz.Műk.c.pe.átadás'!L134</f>
        <v>338521864</v>
      </c>
      <c r="Z12" s="535"/>
      <c r="AA12" s="12">
        <f>+Y12-N13</f>
        <v>0</v>
      </c>
      <c r="AB12" s="533" t="s">
        <v>1181</v>
      </c>
      <c r="AC12" s="533"/>
      <c r="AE12" s="534"/>
    </row>
    <row r="13" spans="1:31" ht="24.75" customHeight="1" x14ac:dyDescent="0.3">
      <c r="A13" s="382" t="s">
        <v>196</v>
      </c>
      <c r="B13" s="88" t="s">
        <v>122</v>
      </c>
      <c r="C13" s="1"/>
      <c r="D13" s="6">
        <f>+'1.b sz. Önkormányzat 2022.'!DK13+'2.10. sz. Intézmények összesen'!D14</f>
        <v>96287551</v>
      </c>
      <c r="E13" s="6">
        <f>+'1.b sz. Önkormányzat 2022.'!DL13+'2.10. sz. Intézmények összesen'!E14</f>
        <v>122808000</v>
      </c>
      <c r="F13" s="6">
        <f>+'2.10. sz. Intézmények összesen'!F14+'1.b sz. Önkormányzat 2022.'!DM13</f>
        <v>114589479</v>
      </c>
      <c r="G13" s="6">
        <f>+'1.b sz. Önkormányzat 2022.'!DN13+'2.10. sz. Intézmények összesen'!G14</f>
        <v>189818697</v>
      </c>
      <c r="H13" s="6">
        <f>+'1.b sz. Önkormányzat 2022.'!DO13+'2.10. sz. Intézmények összesen'!H14</f>
        <v>215713864</v>
      </c>
      <c r="I13" s="6">
        <f>+'2.10. sz. Intézmények összesen'!I14+'1.b sz. Önkormányzat 2022.'!DP13</f>
        <v>215513864</v>
      </c>
      <c r="J13" s="6">
        <f>+'1.b sz. Önkormányzat 2022.'!DQ13+'2.10. sz. Intézmények összesen'!J14</f>
        <v>0</v>
      </c>
      <c r="K13" s="6">
        <f>+'1.b sz. Önkormányzat 2022.'!DR13+'2.10. sz. Intézmények összesen'!K14</f>
        <v>0</v>
      </c>
      <c r="L13" s="6">
        <f>+'2.10. sz. Intézmények összesen'!L14</f>
        <v>0</v>
      </c>
      <c r="M13" s="6">
        <f t="shared" si="1"/>
        <v>286106248</v>
      </c>
      <c r="N13" s="6">
        <f t="shared" si="2"/>
        <v>338521864</v>
      </c>
      <c r="O13" s="6">
        <f t="shared" si="3"/>
        <v>330103343</v>
      </c>
      <c r="P13" s="6">
        <f>+'1.a sz. Önkormányzat 2022. '!LF13</f>
        <v>0</v>
      </c>
      <c r="Q13" s="6">
        <f>+'1.a sz. Önkormányzat 2022. '!LG13</f>
        <v>0</v>
      </c>
      <c r="R13" s="6">
        <f>+'1.a sz. Önkormányzat 2022. '!LH13</f>
        <v>0</v>
      </c>
      <c r="S13" s="12">
        <f t="shared" si="0"/>
        <v>-286106248</v>
      </c>
      <c r="U13" s="12"/>
      <c r="W13" s="530"/>
      <c r="Y13" s="531">
        <f>+'6.sz. Beruházások'!F184</f>
        <v>2057444045</v>
      </c>
      <c r="Z13" s="535"/>
      <c r="AA13" s="12">
        <f>+Y13-N16</f>
        <v>0</v>
      </c>
      <c r="AB13" s="533" t="s">
        <v>1182</v>
      </c>
      <c r="AC13" s="533"/>
      <c r="AE13" s="534"/>
    </row>
    <row r="14" spans="1:31" s="16" customFormat="1" ht="24.75" customHeight="1" x14ac:dyDescent="0.3">
      <c r="A14" s="382" t="s">
        <v>197</v>
      </c>
      <c r="B14" s="88" t="s">
        <v>112</v>
      </c>
      <c r="C14" s="14"/>
      <c r="D14" s="6">
        <f>+'1.b sz. Önkormányzat 2022.'!DK14+'2.10. sz. Intézmények összesen'!D15</f>
        <v>897149962</v>
      </c>
      <c r="E14" s="6">
        <f>+'1.b sz. Önkormányzat 2022.'!DL14+'2.10. sz. Intézmények összesen'!E15</f>
        <v>1872854738</v>
      </c>
      <c r="F14" s="6">
        <f>+'2.10. sz. Intézmények összesen'!F15+'1.b sz. Önkormányzat 2022.'!DM14</f>
        <v>0</v>
      </c>
      <c r="G14" s="6">
        <f>+'1.b sz. Önkormányzat 2022.'!DN14+'2.10. sz. Intézmények összesen'!G15</f>
        <v>0</v>
      </c>
      <c r="H14" s="6">
        <f>+'1.b sz. Önkormányzat 2022.'!DO14+'2.10. sz. Intézmények összesen'!H15</f>
        <v>0</v>
      </c>
      <c r="I14" s="6">
        <f>+'2.10. sz. Intézmények összesen'!I15+'1.b sz. Önkormányzat 2022.'!DP14</f>
        <v>0</v>
      </c>
      <c r="J14" s="6">
        <f>+'1.b sz. Önkormányzat 2022.'!DQ14+'2.10. sz. Intézmények összesen'!J15</f>
        <v>0</v>
      </c>
      <c r="K14" s="6">
        <f>+'1.b sz. Önkormányzat 2022.'!DR14+'2.10. sz. Intézmények összesen'!K15</f>
        <v>0</v>
      </c>
      <c r="L14" s="6">
        <f>+'2.10. sz. Intézmények összesen'!L15</f>
        <v>0</v>
      </c>
      <c r="M14" s="6">
        <f t="shared" si="1"/>
        <v>897149962</v>
      </c>
      <c r="N14" s="6">
        <f t="shared" si="2"/>
        <v>1872854738</v>
      </c>
      <c r="O14" s="6">
        <f t="shared" si="3"/>
        <v>0</v>
      </c>
      <c r="P14" s="6">
        <f>+'1.a sz. Önkormányzat 2022. '!LF14</f>
        <v>0</v>
      </c>
      <c r="Q14" s="6">
        <f>+'1.a sz. Önkormányzat 2022. '!LG14</f>
        <v>0</v>
      </c>
      <c r="R14" s="6">
        <f>+'1.a sz. Önkormányzat 2022. '!LH14</f>
        <v>0</v>
      </c>
      <c r="S14" s="12">
        <f t="shared" si="0"/>
        <v>-897149962</v>
      </c>
      <c r="U14" s="12"/>
      <c r="W14" s="536"/>
      <c r="Y14" s="531">
        <f>+'7. sz. Felújítások'!F38</f>
        <v>174757458</v>
      </c>
      <c r="Z14" s="535"/>
      <c r="AA14" s="537">
        <f>+Y14-N17</f>
        <v>0</v>
      </c>
      <c r="AB14" s="538" t="s">
        <v>1183</v>
      </c>
      <c r="AC14" s="538"/>
      <c r="AE14" s="539"/>
    </row>
    <row r="15" spans="1:31" s="16" customFormat="1" ht="24.75" customHeight="1" x14ac:dyDescent="0.3">
      <c r="A15" s="382" t="s">
        <v>198</v>
      </c>
      <c r="B15" s="88" t="s">
        <v>517</v>
      </c>
      <c r="C15" s="14"/>
      <c r="D15" s="6">
        <f>+'1.b sz. Önkormányzat 2022.'!DK15+'2.10. sz. Intézmények összesen'!D16</f>
        <v>898020658</v>
      </c>
      <c r="E15" s="6">
        <f>+'1.b sz. Önkormányzat 2022.'!DL15+'2.10. sz. Intézmények összesen'!E16</f>
        <v>1057353365</v>
      </c>
      <c r="F15" s="6">
        <f>+'2.10. sz. Intézmények összesen'!F16+'1.b sz. Önkormányzat 2022.'!DM15</f>
        <v>1057353365</v>
      </c>
      <c r="G15" s="6">
        <f>+'1.b sz. Önkormányzat 2022.'!DN15+'2.10. sz. Intézmények összesen'!G16</f>
        <v>0</v>
      </c>
      <c r="H15" s="6">
        <f>+'1.b sz. Önkormányzat 2022.'!DO15+'2.10. sz. Intézmények összesen'!H16</f>
        <v>0</v>
      </c>
      <c r="I15" s="6">
        <f>+'2.10. sz. Intézmények összesen'!I16+'1.b sz. Önkormányzat 2022.'!DP15</f>
        <v>0</v>
      </c>
      <c r="J15" s="6">
        <f>+'1.b sz. Önkormányzat 2022.'!DQ15+'2.10. sz. Intézmények összesen'!J16</f>
        <v>0</v>
      </c>
      <c r="K15" s="6">
        <f>+'1.b sz. Önkormányzat 2022.'!DR15+'2.10. sz. Intézmények összesen'!K16</f>
        <v>0</v>
      </c>
      <c r="L15" s="6">
        <f>+'2.10. sz. Intézmények összesen'!L16</f>
        <v>0</v>
      </c>
      <c r="M15" s="6">
        <f t="shared" si="1"/>
        <v>898020658</v>
      </c>
      <c r="N15" s="6">
        <f t="shared" si="2"/>
        <v>1057353365</v>
      </c>
      <c r="O15" s="6">
        <f t="shared" si="3"/>
        <v>1057353365</v>
      </c>
      <c r="P15" s="6">
        <f>+'1.a sz. Önkormányzat 2022. '!LF15</f>
        <v>0</v>
      </c>
      <c r="Q15" s="6">
        <f>+'1.a sz. Önkormányzat 2022. '!LG15</f>
        <v>0</v>
      </c>
      <c r="R15" s="6">
        <f>+'1.a sz. Önkormányzat 2022. '!LH15</f>
        <v>0</v>
      </c>
      <c r="S15" s="12">
        <f t="shared" si="0"/>
        <v>-898020658</v>
      </c>
      <c r="U15" s="12"/>
      <c r="W15" s="536"/>
      <c r="Y15" s="531">
        <f>+'8.sz.Tartalékok'!D74</f>
        <v>1872854738</v>
      </c>
      <c r="Z15" s="535"/>
      <c r="AA15" s="537">
        <f>+Y15-N14</f>
        <v>0</v>
      </c>
      <c r="AB15" s="538" t="s">
        <v>1184</v>
      </c>
      <c r="AC15" s="538"/>
      <c r="AE15" s="539"/>
    </row>
    <row r="16" spans="1:31" s="2" customFormat="1" ht="24.75" customHeight="1" x14ac:dyDescent="0.3">
      <c r="A16" s="382" t="s">
        <v>199</v>
      </c>
      <c r="B16" s="89" t="s">
        <v>244</v>
      </c>
      <c r="C16" s="1" t="s">
        <v>208</v>
      </c>
      <c r="D16" s="6">
        <f>+'1.b sz. Önkormányzat 2022.'!DK16+'2.10. sz. Intézmények összesen'!D17</f>
        <v>1272519473</v>
      </c>
      <c r="E16" s="6">
        <f>+'1.b sz. Önkormányzat 2022.'!DL16+'2.10. sz. Intézmények összesen'!E17</f>
        <v>1529996063</v>
      </c>
      <c r="F16" s="6">
        <f>+'2.10. sz. Intézmények összesen'!F17+'1.b sz. Önkormányzat 2022.'!DM16</f>
        <v>592445546</v>
      </c>
      <c r="G16" s="6">
        <f>+'1.b sz. Önkormányzat 2022.'!DN16+'2.10. sz. Intézmények összesen'!G17</f>
        <v>554688577</v>
      </c>
      <c r="H16" s="6">
        <f>+'1.b sz. Önkormányzat 2022.'!DO16+'2.10. sz. Intézmények összesen'!H17</f>
        <v>516167245</v>
      </c>
      <c r="I16" s="6">
        <f>+'2.10. sz. Intézmények összesen'!I17+'1.b sz. Önkormányzat 2022.'!DP16</f>
        <v>416928541</v>
      </c>
      <c r="J16" s="6">
        <f>+'1.b sz. Önkormányzat 2022.'!DQ16+'2.10. sz. Intézmények összesen'!J17</f>
        <v>7240500</v>
      </c>
      <c r="K16" s="6">
        <f>+'1.b sz. Önkormányzat 2022.'!DR16+'2.10. sz. Intézmények összesen'!K17</f>
        <v>11280737</v>
      </c>
      <c r="L16" s="6">
        <f>+'2.10. sz. Intézmények összesen'!L17</f>
        <v>5283291</v>
      </c>
      <c r="M16" s="6">
        <f t="shared" si="1"/>
        <v>1834448550</v>
      </c>
      <c r="N16" s="6">
        <f t="shared" si="2"/>
        <v>2057444045</v>
      </c>
      <c r="O16" s="6">
        <f t="shared" si="3"/>
        <v>1014657378</v>
      </c>
      <c r="P16" s="6">
        <f>+'1.a sz. Önkormányzat 2022. '!LF16</f>
        <v>7499350</v>
      </c>
      <c r="Q16" s="6">
        <f>+'1.a sz. Önkormányzat 2022. '!LG16</f>
        <v>41418264</v>
      </c>
      <c r="R16" s="6">
        <f>+'1.a sz. Önkormányzat 2022. '!LH16</f>
        <v>6604000</v>
      </c>
      <c r="S16" s="12">
        <f t="shared" si="0"/>
        <v>-1793030286</v>
      </c>
      <c r="U16" s="12">
        <f>+T16-M16</f>
        <v>-1834448550</v>
      </c>
      <c r="W16" s="540"/>
      <c r="Y16" s="531">
        <f>+'9.sz. Szociális'!F22:F22</f>
        <v>47819430</v>
      </c>
      <c r="Z16" s="535"/>
      <c r="AA16" s="532">
        <f>+Y16-N11</f>
        <v>0</v>
      </c>
      <c r="AB16" s="533" t="s">
        <v>1185</v>
      </c>
      <c r="AC16" s="533"/>
      <c r="AE16" s="541"/>
    </row>
    <row r="17" spans="1:31" s="2" customFormat="1" ht="24.75" customHeight="1" x14ac:dyDescent="0.3">
      <c r="A17" s="382" t="s">
        <v>200</v>
      </c>
      <c r="B17" s="87" t="s">
        <v>333</v>
      </c>
      <c r="C17" s="1" t="s">
        <v>209</v>
      </c>
      <c r="D17" s="6">
        <f>+'1.b sz. Önkormányzat 2022.'!DK17+'2.10. sz. Intézmények összesen'!D18</f>
        <v>227236267</v>
      </c>
      <c r="E17" s="6">
        <f>+'1.b sz. Önkormányzat 2022.'!DL17+'2.10. sz. Intézmények összesen'!E18</f>
        <v>174757458</v>
      </c>
      <c r="F17" s="6">
        <f>+'2.10. sz. Intézmények összesen'!F18+'1.b sz. Önkormányzat 2022.'!DM17</f>
        <v>130277202</v>
      </c>
      <c r="G17" s="6">
        <f>+'1.b sz. Önkormányzat 2022.'!DN17+'2.10. sz. Intézmények összesen'!G18</f>
        <v>0</v>
      </c>
      <c r="H17" s="6">
        <f>+'1.b sz. Önkormányzat 2022.'!DO17+'2.10. sz. Intézmények összesen'!H18</f>
        <v>0</v>
      </c>
      <c r="I17" s="6">
        <f>+'2.10. sz. Intézmények összesen'!I18+'1.b sz. Önkormányzat 2022.'!DP17</f>
        <v>0</v>
      </c>
      <c r="J17" s="6">
        <f>+'1.b sz. Önkormányzat 2022.'!DQ17+'2.10. sz. Intézmények összesen'!J18</f>
        <v>0</v>
      </c>
      <c r="K17" s="6">
        <f>+'1.b sz. Önkormányzat 2022.'!DR17+'2.10. sz. Intézmények összesen'!K18</f>
        <v>0</v>
      </c>
      <c r="L17" s="6">
        <f>+'2.10. sz. Intézmények összesen'!L18</f>
        <v>0</v>
      </c>
      <c r="M17" s="6">
        <f t="shared" si="1"/>
        <v>227236267</v>
      </c>
      <c r="N17" s="6">
        <f t="shared" si="2"/>
        <v>174757458</v>
      </c>
      <c r="O17" s="6">
        <f t="shared" si="3"/>
        <v>130277202</v>
      </c>
      <c r="P17" s="6">
        <f>+'1.a sz. Önkormányzat 2022. '!LF17</f>
        <v>0</v>
      </c>
      <c r="Q17" s="6">
        <f>+'1.a sz. Önkormányzat 2022. '!LG17</f>
        <v>0</v>
      </c>
      <c r="R17" s="6">
        <f>+'1.a sz. Önkormányzat 2022. '!LH17</f>
        <v>0</v>
      </c>
      <c r="S17" s="12">
        <f t="shared" si="0"/>
        <v>-227236267</v>
      </c>
      <c r="U17" s="12">
        <f>+T17-M17</f>
        <v>-227236267</v>
      </c>
      <c r="W17" s="540"/>
      <c r="Y17" s="531">
        <f>+'10.sz.Intézményfinanszírozás'!E16</f>
        <v>3686246941</v>
      </c>
      <c r="Z17" s="535"/>
      <c r="AA17" s="532">
        <f>+Y17-N23</f>
        <v>0</v>
      </c>
      <c r="AB17" s="533" t="s">
        <v>1186</v>
      </c>
      <c r="AC17" s="533"/>
      <c r="AE17" s="541"/>
    </row>
    <row r="18" spans="1:31" ht="24.75" customHeight="1" x14ac:dyDescent="0.3">
      <c r="A18" s="382" t="s">
        <v>201</v>
      </c>
      <c r="B18" s="87" t="s">
        <v>238</v>
      </c>
      <c r="C18" s="1" t="s">
        <v>210</v>
      </c>
      <c r="D18" s="6">
        <f>+'1.b sz. Önkormányzat 2022.'!DK18+'2.10. sz. Intézmények összesen'!D19</f>
        <v>10000000</v>
      </c>
      <c r="E18" s="6">
        <f>+'1.b sz. Önkormányzat 2022.'!DL18+'2.10. sz. Intézmények összesen'!E19</f>
        <v>17311551</v>
      </c>
      <c r="F18" s="6">
        <f>+'2.10. sz. Intézmények összesen'!F19+'1.b sz. Önkormányzat 2022.'!DM18</f>
        <v>17311551</v>
      </c>
      <c r="G18" s="6">
        <f>+'1.b sz. Önkormányzat 2022.'!DN18+'2.10. sz. Intézmények összesen'!G19</f>
        <v>13820000</v>
      </c>
      <c r="H18" s="6">
        <f>+'1.b sz. Önkormányzat 2022.'!DO18+'2.10. sz. Intézmények összesen'!H19</f>
        <v>16959710</v>
      </c>
      <c r="I18" s="6">
        <f>+'2.10. sz. Intézmények összesen'!I19+'1.b sz. Önkormányzat 2022.'!DP18</f>
        <v>11640220</v>
      </c>
      <c r="J18" s="6">
        <f>+'1.b sz. Önkormányzat 2022.'!DQ18+'2.10. sz. Intézmények összesen'!J19</f>
        <v>0</v>
      </c>
      <c r="K18" s="6">
        <f>+'1.b sz. Önkormányzat 2022.'!DR18+'2.10. sz. Intézmények összesen'!K19</f>
        <v>0</v>
      </c>
      <c r="L18" s="6">
        <f>+'2.10. sz. Intézmények összesen'!L19</f>
        <v>0</v>
      </c>
      <c r="M18" s="6">
        <f t="shared" si="1"/>
        <v>23820000</v>
      </c>
      <c r="N18" s="6">
        <f t="shared" si="2"/>
        <v>34271261</v>
      </c>
      <c r="O18" s="6">
        <f t="shared" si="3"/>
        <v>28951771</v>
      </c>
      <c r="P18" s="6">
        <f>+'1.a sz. Önkormányzat 2022. '!LF18</f>
        <v>0</v>
      </c>
      <c r="Q18" s="6">
        <f>+'1.a sz. Önkormányzat 2022. '!LG18</f>
        <v>0</v>
      </c>
      <c r="R18" s="6">
        <f>+'1.a sz. Önkormányzat 2022. '!LH18</f>
        <v>0</v>
      </c>
      <c r="S18" s="12">
        <f t="shared" si="0"/>
        <v>-23820000</v>
      </c>
      <c r="U18" s="12">
        <f>SUM(U10:U17)</f>
        <v>-5558346410</v>
      </c>
      <c r="W18" s="530"/>
      <c r="Y18" s="531">
        <f>+'10.sz.Intézményfinanszírozás'!H16</f>
        <v>98501338</v>
      </c>
      <c r="Z18" s="535"/>
      <c r="AA18" s="12">
        <f>+Y18-N24</f>
        <v>0</v>
      </c>
      <c r="AB18" s="533" t="s">
        <v>1187</v>
      </c>
      <c r="AC18" s="533"/>
      <c r="AE18" s="534"/>
    </row>
    <row r="19" spans="1:31" ht="24.75" customHeight="1" x14ac:dyDescent="0.3">
      <c r="A19" s="382" t="s">
        <v>228</v>
      </c>
      <c r="B19" s="88" t="s">
        <v>121</v>
      </c>
      <c r="C19" s="1"/>
      <c r="D19" s="6">
        <f>+'1.b sz. Önkormányzat 2022.'!DK19+'2.10. sz. Intézmények összesen'!D20</f>
        <v>10000000</v>
      </c>
      <c r="E19" s="6">
        <f>+'1.b sz. Önkormányzat 2022.'!DL19+'2.10. sz. Intézmények összesen'!E20</f>
        <v>17311551</v>
      </c>
      <c r="F19" s="6">
        <f>+'2.10. sz. Intézmények összesen'!F20+'1.b sz. Önkormányzat 2022.'!DM19</f>
        <v>17311551</v>
      </c>
      <c r="G19" s="6">
        <f>+'1.b sz. Önkormányzat 2022.'!DN19+'2.10. sz. Intézmények összesen'!G20</f>
        <v>13820000</v>
      </c>
      <c r="H19" s="6">
        <f>+'1.b sz. Önkormányzat 2022.'!DO19+'2.10. sz. Intézmények összesen'!H20</f>
        <v>16959710</v>
      </c>
      <c r="I19" s="6">
        <f>+'2.10. sz. Intézmények összesen'!I20+'1.b sz. Önkormányzat 2022.'!DP19</f>
        <v>11640220</v>
      </c>
      <c r="J19" s="6">
        <f>+'1.b sz. Önkormányzat 2022.'!DQ19+'2.10. sz. Intézmények összesen'!J20</f>
        <v>0</v>
      </c>
      <c r="K19" s="6">
        <f>+'1.b sz. Önkormányzat 2022.'!DR19+'2.10. sz. Intézmények összesen'!K20</f>
        <v>0</v>
      </c>
      <c r="L19" s="6">
        <f>+'2.10. sz. Intézmények összesen'!L20</f>
        <v>0</v>
      </c>
      <c r="M19" s="6">
        <f t="shared" si="1"/>
        <v>23820000</v>
      </c>
      <c r="N19" s="6">
        <f t="shared" si="2"/>
        <v>34271261</v>
      </c>
      <c r="O19" s="6">
        <f t="shared" si="3"/>
        <v>28951771</v>
      </c>
      <c r="P19" s="6">
        <f>+'1.a sz. Önkormányzat 2022. '!LF19</f>
        <v>0</v>
      </c>
      <c r="Q19" s="6">
        <f>+'1.a sz. Önkormányzat 2022. '!LG19</f>
        <v>0</v>
      </c>
      <c r="R19" s="6">
        <f>+'1.a sz. Önkormányzat 2022. '!LH19</f>
        <v>0</v>
      </c>
      <c r="S19" s="12">
        <f t="shared" si="0"/>
        <v>-23820000</v>
      </c>
      <c r="U19" s="4">
        <f>+P54</f>
        <v>0</v>
      </c>
      <c r="W19" s="530"/>
      <c r="Y19" s="531">
        <f>+'11.a.sz. Állami támogatás'!F78+'11.a.sz. Állami támogatás'!F90+'11.a.sz. Állami támogatás'!F94+'11.a.sz. Állami támogatás'!F6</f>
        <v>2374477160</v>
      </c>
      <c r="AA19" s="12">
        <f>+Y19-'1.b sz. Önkormányzat 2022.'!DF30</f>
        <v>0</v>
      </c>
      <c r="AB19" s="533" t="s">
        <v>1188</v>
      </c>
      <c r="AE19" s="534"/>
    </row>
    <row r="20" spans="1:31" s="2" customFormat="1" ht="24.75" customHeight="1" x14ac:dyDescent="0.3">
      <c r="A20" s="382" t="s">
        <v>229</v>
      </c>
      <c r="B20" s="89" t="s">
        <v>239</v>
      </c>
      <c r="C20" s="1" t="s">
        <v>211</v>
      </c>
      <c r="D20" s="7">
        <f>+'1.b sz. Önkormányzat 2022.'!DK20+'2.10. sz. Intézmények összesen'!D21</f>
        <v>9237450433</v>
      </c>
      <c r="E20" s="7">
        <f>+'1.b sz. Önkormányzat 2022.'!DL20+'2.10. sz. Intézmények összesen'!E21</f>
        <v>11335844429</v>
      </c>
      <c r="F20" s="7">
        <f>+'2.10. sz. Intézmények összesen'!F21+'1.b sz. Önkormányzat 2022.'!DM20</f>
        <v>7414938938</v>
      </c>
      <c r="G20" s="7">
        <f>+'1.b sz. Önkormányzat 2022.'!DN20+'2.10. sz. Intézmények összesen'!G21</f>
        <v>1222093762</v>
      </c>
      <c r="H20" s="7">
        <f>+'1.b sz. Önkormányzat 2022.'!DO20+'2.10. sz. Intézmények összesen'!H21</f>
        <v>1370208321</v>
      </c>
      <c r="I20" s="7">
        <f>+'2.10. sz. Intézmények összesen'!I21+'1.b sz. Önkormányzat 2022.'!DP20</f>
        <v>1132367821</v>
      </c>
      <c r="J20" s="7">
        <f>+'1.b sz. Önkormányzat 2022.'!DQ20+'2.10. sz. Intézmények összesen'!J21</f>
        <v>128958177</v>
      </c>
      <c r="K20" s="7">
        <f>+'1.b sz. Önkormányzat 2022.'!DR20+'2.10. sz. Intézmények összesen'!K21</f>
        <v>169106866</v>
      </c>
      <c r="L20" s="7">
        <f>+'2.10. sz. Intézmények összesen'!L21</f>
        <v>125747290</v>
      </c>
      <c r="M20" s="7">
        <f t="shared" si="1"/>
        <v>10588502372</v>
      </c>
      <c r="N20" s="7">
        <f t="shared" si="2"/>
        <v>12875159616</v>
      </c>
      <c r="O20" s="7">
        <f t="shared" si="3"/>
        <v>8673054049</v>
      </c>
      <c r="P20" s="6">
        <f>+'1.a sz. Önkormányzat 2022. '!LF20</f>
        <v>7499350</v>
      </c>
      <c r="Q20" s="6">
        <f>+'1.a sz. Önkormányzat 2022. '!LG20</f>
        <v>49565206</v>
      </c>
      <c r="R20" s="6">
        <f>+'1.a sz. Önkormányzat 2022. '!LH20</f>
        <v>14589044</v>
      </c>
      <c r="S20" s="12">
        <f t="shared" si="0"/>
        <v>-10538937166</v>
      </c>
      <c r="U20" s="216">
        <f>+U19+U18</f>
        <v>-5558346410</v>
      </c>
      <c r="W20" s="540"/>
      <c r="Y20" s="531">
        <f>+'13.sz. Közhatalmi bevételek'!X5</f>
        <v>4719374433</v>
      </c>
      <c r="AA20" s="12">
        <f>+Y20-'1.b sz. Önkormányzat 2022.'!DC32-'1.a sz. Önkormányzat 2022. '!AO32</f>
        <v>0</v>
      </c>
      <c r="AB20" s="533" t="s">
        <v>1189</v>
      </c>
      <c r="AE20" s="541"/>
    </row>
    <row r="21" spans="1:31" s="2" customFormat="1" ht="24.75" customHeight="1" x14ac:dyDescent="0.3">
      <c r="A21" s="382" t="s">
        <v>230</v>
      </c>
      <c r="B21" s="89" t="s">
        <v>224</v>
      </c>
      <c r="C21" s="1" t="s">
        <v>220</v>
      </c>
      <c r="D21" s="6">
        <f>+'1.b sz. Önkormányzat 2022.'!DK21+'2.10. sz. Intézmények összesen'!D22</f>
        <v>3575792043</v>
      </c>
      <c r="E21" s="6">
        <f>+'1.b sz. Önkormányzat 2022.'!DL21+'2.10. sz. Intézmények összesen'!E22</f>
        <v>4079816808</v>
      </c>
      <c r="F21" s="6">
        <f>+'2.10. sz. Intézmények összesen'!F22+'1.b sz. Önkormányzat 2022.'!DM21</f>
        <v>3517828815</v>
      </c>
      <c r="G21" s="6">
        <f>+'1.b sz. Önkormányzat 2022.'!DN21+'2.10. sz. Intézmények összesen'!G22</f>
        <v>91696060</v>
      </c>
      <c r="H21" s="6">
        <f>+'1.b sz. Önkormányzat 2022.'!DO21+'2.10. sz. Intézmények összesen'!H22</f>
        <v>91696060</v>
      </c>
      <c r="I21" s="6">
        <f>+'2.10. sz. Intézmények összesen'!I22+'1.b sz. Önkormányzat 2022.'!DP21</f>
        <v>28291696060</v>
      </c>
      <c r="J21" s="6">
        <f>+'1.b sz. Önkormányzat 2022.'!DQ21+'2.10. sz. Intézmények összesen'!J22</f>
        <v>0</v>
      </c>
      <c r="K21" s="6">
        <f>+'1.b sz. Önkormányzat 2022.'!DR21+'2.10. sz. Intézmények összesen'!K22</f>
        <v>0</v>
      </c>
      <c r="L21" s="6">
        <f>+'2.10. sz. Intézmények összesen'!L22</f>
        <v>0</v>
      </c>
      <c r="M21" s="6">
        <f t="shared" si="1"/>
        <v>3667488103</v>
      </c>
      <c r="N21" s="6">
        <f t="shared" si="2"/>
        <v>4171512868</v>
      </c>
      <c r="O21" s="6">
        <f t="shared" si="3"/>
        <v>31809524875</v>
      </c>
      <c r="P21" s="6">
        <f>+'1.a sz. Önkormányzat 2022. '!LF21</f>
        <v>0</v>
      </c>
      <c r="Q21" s="6">
        <f>+'1.a sz. Önkormányzat 2022. '!LG21</f>
        <v>0</v>
      </c>
      <c r="R21" s="6">
        <f>+'1.a sz. Önkormányzat 2022. '!LH21</f>
        <v>0</v>
      </c>
      <c r="S21" s="12">
        <f t="shared" si="0"/>
        <v>-3667488103</v>
      </c>
      <c r="T21" s="216">
        <f>+T20-M20</f>
        <v>-10588502372</v>
      </c>
      <c r="W21" s="540"/>
      <c r="Y21" s="531">
        <f>+'14.sz.Felhalmozási bev'!R23</f>
        <v>741863797</v>
      </c>
      <c r="AA21" s="12">
        <f>+Y21-'1.a sz. Önkormányzat 2022. '!AL34</f>
        <v>0</v>
      </c>
      <c r="AB21" s="533" t="s">
        <v>1190</v>
      </c>
      <c r="AE21" s="541"/>
    </row>
    <row r="22" spans="1:31" s="15" customFormat="1" ht="21.75" customHeight="1" x14ac:dyDescent="0.25">
      <c r="A22" s="382" t="s">
        <v>231</v>
      </c>
      <c r="B22" s="29" t="s">
        <v>747</v>
      </c>
      <c r="C22" s="14"/>
      <c r="D22" s="6">
        <f>+'1.b sz. Önkormányzat 2022.'!DK22+'2.10. sz. Intézmények összesen'!D23</f>
        <v>0</v>
      </c>
      <c r="E22" s="6">
        <f>+'1.b sz. Önkormányzat 2022.'!DL22+'2.10. sz. Intézmények összesen'!E23</f>
        <v>295068529</v>
      </c>
      <c r="F22" s="6">
        <f>+'2.10. sz. Intézmények összesen'!F23+'1.b sz. Önkormányzat 2022.'!DM22</f>
        <v>295068529</v>
      </c>
      <c r="G22" s="6">
        <f>+'1.b sz. Önkormányzat 2022.'!DN22+'2.10. sz. Intézmények összesen'!G23</f>
        <v>63513436</v>
      </c>
      <c r="H22" s="6">
        <f>+'1.b sz. Önkormányzat 2022.'!DO22+'2.10. sz. Intézmények összesen'!H23</f>
        <v>63513436</v>
      </c>
      <c r="I22" s="6">
        <f>+'2.10. sz. Intézmények összesen'!I23+'1.b sz. Önkormányzat 2022.'!DP22</f>
        <v>63513436</v>
      </c>
      <c r="J22" s="6">
        <f>+'1.b sz. Önkormányzat 2022.'!DQ22+'2.10. sz. Intézmények összesen'!J23</f>
        <v>0</v>
      </c>
      <c r="K22" s="6">
        <f>+'1.b sz. Önkormányzat 2022.'!DR22+'2.10. sz. Intézmények összesen'!K23</f>
        <v>0</v>
      </c>
      <c r="L22" s="6">
        <f>+'2.10. sz. Intézmények összesen'!L23</f>
        <v>0</v>
      </c>
      <c r="M22" s="6">
        <f t="shared" si="1"/>
        <v>63513436</v>
      </c>
      <c r="N22" s="6">
        <f t="shared" si="2"/>
        <v>358581965</v>
      </c>
      <c r="O22" s="6">
        <f t="shared" si="3"/>
        <v>358581965</v>
      </c>
      <c r="P22" s="6">
        <f>+'1.a sz. Önkormányzat 2022. '!LF22</f>
        <v>0</v>
      </c>
      <c r="Q22" s="6">
        <f>+'1.a sz. Önkormányzat 2022. '!LG22</f>
        <v>0</v>
      </c>
      <c r="R22" s="6">
        <f>+'1.a sz. Önkormányzat 2022. '!LH22</f>
        <v>0</v>
      </c>
      <c r="S22" s="12">
        <f t="shared" si="0"/>
        <v>-63513436</v>
      </c>
      <c r="W22" s="545"/>
      <c r="AE22" s="546"/>
    </row>
    <row r="23" spans="1:31" s="15" customFormat="1" ht="24.75" customHeight="1" x14ac:dyDescent="0.25">
      <c r="A23" s="382" t="s">
        <v>232</v>
      </c>
      <c r="B23" s="90" t="s">
        <v>520</v>
      </c>
      <c r="C23" s="14"/>
      <c r="D23" s="6">
        <f>+'1.b sz. Önkormányzat 2022.'!DK23+'2.10. sz. Intézmények összesen'!D24</f>
        <v>3513510223</v>
      </c>
      <c r="E23" s="6">
        <f>+'1.b sz. Önkormányzat 2022.'!DL23+'2.10. sz. Intézmények összesen'!E24</f>
        <v>3686246941</v>
      </c>
      <c r="F23" s="6">
        <f>+'2.10. sz. Intézmények összesen'!F24+'1.b sz. Önkormányzat 2022.'!DM23</f>
        <v>3124258948</v>
      </c>
      <c r="G23" s="6">
        <f>+'1.b sz. Önkormányzat 2022.'!DN23+'2.10. sz. Intézmények összesen'!G24</f>
        <v>0</v>
      </c>
      <c r="H23" s="6">
        <f>+'1.b sz. Önkormányzat 2022.'!DO23+'2.10. sz. Intézmények összesen'!H24</f>
        <v>0</v>
      </c>
      <c r="I23" s="6">
        <f>+'2.10. sz. Intézmények összesen'!I24+'1.b sz. Önkormányzat 2022.'!DP23</f>
        <v>0</v>
      </c>
      <c r="J23" s="6">
        <f>+'1.b sz. Önkormányzat 2022.'!DQ23+'2.10. sz. Intézmények összesen'!J24</f>
        <v>0</v>
      </c>
      <c r="K23" s="6">
        <f>+'1.b sz. Önkormányzat 2022.'!DR23+'2.10. sz. Intézmények összesen'!K24</f>
        <v>0</v>
      </c>
      <c r="L23" s="6">
        <f>+'2.10. sz. Intézmények összesen'!L24</f>
        <v>0</v>
      </c>
      <c r="M23" s="6">
        <f t="shared" si="1"/>
        <v>3513510223</v>
      </c>
      <c r="N23" s="6">
        <f t="shared" si="2"/>
        <v>3686246941</v>
      </c>
      <c r="O23" s="6">
        <f t="shared" si="3"/>
        <v>3124258948</v>
      </c>
      <c r="P23" s="6">
        <f>+'1.a sz. Önkormányzat 2022. '!LF23</f>
        <v>0</v>
      </c>
      <c r="Q23" s="6">
        <f>+'1.a sz. Önkormányzat 2022. '!LG23</f>
        <v>0</v>
      </c>
      <c r="R23" s="6">
        <f>+'1.a sz. Önkormányzat 2022. '!LH23</f>
        <v>0</v>
      </c>
      <c r="S23" s="12">
        <f t="shared" si="0"/>
        <v>-3513510223</v>
      </c>
      <c r="W23" s="547"/>
      <c r="X23" s="548"/>
      <c r="Y23" s="548"/>
      <c r="Z23" s="548"/>
      <c r="AA23" s="548"/>
      <c r="AB23" s="548"/>
      <c r="AC23" s="548"/>
      <c r="AD23" s="548"/>
      <c r="AE23" s="549"/>
    </row>
    <row r="24" spans="1:31" s="15" customFormat="1" ht="24.75" customHeight="1" x14ac:dyDescent="0.25">
      <c r="A24" s="382" t="s">
        <v>233</v>
      </c>
      <c r="B24" s="90" t="s">
        <v>521</v>
      </c>
      <c r="C24" s="14"/>
      <c r="D24" s="6">
        <f>+'1.b sz. Önkormányzat 2022.'!DK24+'2.10. sz. Intézmények összesen'!D25</f>
        <v>62281820</v>
      </c>
      <c r="E24" s="6">
        <f>+'1.b sz. Önkormányzat 2022.'!DL24+'2.10. sz. Intézmények összesen'!E25</f>
        <v>98501338</v>
      </c>
      <c r="F24" s="6">
        <f>+'2.10. sz. Intézmények összesen'!F25+'1.b sz. Önkormányzat 2022.'!DM24</f>
        <v>98501338</v>
      </c>
      <c r="G24" s="6">
        <f>+'1.b sz. Önkormányzat 2022.'!DN24+'2.10. sz. Intézmények összesen'!G25</f>
        <v>0</v>
      </c>
      <c r="H24" s="6">
        <f>+'1.b sz. Önkormányzat 2022.'!DO24+'2.10. sz. Intézmények összesen'!H25</f>
        <v>0</v>
      </c>
      <c r="I24" s="6">
        <f>+'2.10. sz. Intézmények összesen'!I25+'1.b sz. Önkormányzat 2022.'!DP24</f>
        <v>0</v>
      </c>
      <c r="J24" s="6">
        <f>+'1.b sz. Önkormányzat 2022.'!DQ24+'2.10. sz. Intézmények összesen'!J25</f>
        <v>0</v>
      </c>
      <c r="K24" s="6">
        <f>+'1.b sz. Önkormányzat 2022.'!DR24+'2.10. sz. Intézmények összesen'!K25</f>
        <v>0</v>
      </c>
      <c r="L24" s="6">
        <f>+'2.10. sz. Intézmények összesen'!L25</f>
        <v>0</v>
      </c>
      <c r="M24" s="6">
        <f t="shared" si="1"/>
        <v>62281820</v>
      </c>
      <c r="N24" s="6">
        <f t="shared" si="2"/>
        <v>98501338</v>
      </c>
      <c r="O24" s="6">
        <f t="shared" si="3"/>
        <v>98501338</v>
      </c>
      <c r="P24" s="6">
        <f>+'1.a sz. Önkormányzat 2022. '!LF24</f>
        <v>0</v>
      </c>
      <c r="Q24" s="6">
        <f>+'1.a sz. Önkormányzat 2022. '!LG24</f>
        <v>0</v>
      </c>
      <c r="R24" s="6">
        <f>+'1.a sz. Önkormányzat 2022. '!LH24</f>
        <v>0</v>
      </c>
      <c r="S24" s="12">
        <f t="shared" si="0"/>
        <v>-62281820</v>
      </c>
    </row>
    <row r="25" spans="1:31" s="15" customFormat="1" ht="24.75" customHeight="1" x14ac:dyDescent="0.25">
      <c r="A25" s="382" t="s">
        <v>234</v>
      </c>
      <c r="B25" s="90" t="s">
        <v>123</v>
      </c>
      <c r="C25" s="14"/>
      <c r="D25" s="6">
        <f>+'1.b sz. Önkormányzat 2022.'!DK25+'2.10. sz. Intézmények összesen'!D26</f>
        <v>0</v>
      </c>
      <c r="E25" s="6">
        <f>+'1.b sz. Önkormányzat 2022.'!DL25+'2.10. sz. Intézmények összesen'!E26</f>
        <v>0</v>
      </c>
      <c r="F25" s="6">
        <f>+'2.10. sz. Intézmények összesen'!F26+'1.b sz. Önkormányzat 2022.'!DM25</f>
        <v>0</v>
      </c>
      <c r="G25" s="6">
        <f>+'1.b sz. Önkormányzat 2022.'!DN25+'2.10. sz. Intézmények összesen'!G26</f>
        <v>28182624</v>
      </c>
      <c r="H25" s="6">
        <f>+'1.b sz. Önkormányzat 2022.'!DO25+'2.10. sz. Intézmények összesen'!H26</f>
        <v>28182624</v>
      </c>
      <c r="I25" s="6">
        <f>+'2.10. sz. Intézmények összesen'!I26+'1.b sz. Önkormányzat 2022.'!DP25</f>
        <v>28182624</v>
      </c>
      <c r="J25" s="6">
        <f>+'1.b sz. Önkormányzat 2022.'!DQ25+'2.10. sz. Intézmények összesen'!J26</f>
        <v>0</v>
      </c>
      <c r="K25" s="6">
        <f>+'1.b sz. Önkormányzat 2022.'!DR25+'2.10. sz. Intézmények összesen'!K26</f>
        <v>0</v>
      </c>
      <c r="L25" s="6">
        <f>+'2.10. sz. Intézmények összesen'!L26</f>
        <v>0</v>
      </c>
      <c r="M25" s="6">
        <f t="shared" si="1"/>
        <v>28182624</v>
      </c>
      <c r="N25" s="6">
        <f t="shared" si="2"/>
        <v>28182624</v>
      </c>
      <c r="O25" s="6">
        <f t="shared" si="3"/>
        <v>28182624</v>
      </c>
      <c r="P25" s="6">
        <f>+'1.a sz. Önkormányzat 2022. '!LF25</f>
        <v>0</v>
      </c>
      <c r="Q25" s="6">
        <f>+'1.a sz. Önkormányzat 2022. '!LG25</f>
        <v>0</v>
      </c>
      <c r="R25" s="6">
        <f>+'1.a sz. Önkormányzat 2022. '!LH25</f>
        <v>0</v>
      </c>
      <c r="S25" s="12">
        <f t="shared" si="0"/>
        <v>-28182624</v>
      </c>
    </row>
    <row r="26" spans="1:31" s="15" customFormat="1" ht="24.75" customHeight="1" x14ac:dyDescent="0.25">
      <c r="A26" s="382" t="s">
        <v>235</v>
      </c>
      <c r="B26" s="222" t="s">
        <v>742</v>
      </c>
      <c r="C26" s="14"/>
      <c r="D26" s="6">
        <f>+'1.b sz. Önkormányzat 2022.'!DK26+'2.10. sz. Intézmények összesen'!D27</f>
        <v>0</v>
      </c>
      <c r="E26" s="6">
        <f>+'1.b sz. Önkormányzat 2022.'!DL26+'2.10. sz. Intézmények összesen'!E27</f>
        <v>0</v>
      </c>
      <c r="F26" s="6">
        <f>+'2.10. sz. Intézmények összesen'!F27+'1.b sz. Önkormányzat 2022.'!DM26</f>
        <v>0</v>
      </c>
      <c r="G26" s="6">
        <f>+'1.b sz. Önkormányzat 2022.'!DN26+'2.10. sz. Intézmények összesen'!G27</f>
        <v>0</v>
      </c>
      <c r="H26" s="6">
        <f>+'1.b sz. Önkormányzat 2022.'!DO26+'2.10. sz. Intézmények összesen'!H27</f>
        <v>0</v>
      </c>
      <c r="I26" s="6">
        <f>+'2.10. sz. Intézmények összesen'!I27+'1.b sz. Önkormányzat 2022.'!DP26</f>
        <v>28200000000</v>
      </c>
      <c r="J26" s="6">
        <f>+'1.b sz. Önkormányzat 2022.'!DQ26+'2.10. sz. Intézmények összesen'!J27</f>
        <v>0</v>
      </c>
      <c r="K26" s="6">
        <f>+'1.b sz. Önkormányzat 2022.'!DR26+'2.10. sz. Intézmények összesen'!K27</f>
        <v>0</v>
      </c>
      <c r="L26" s="6">
        <f>+'2.10. sz. Intézmények összesen'!L27</f>
        <v>0</v>
      </c>
      <c r="M26" s="6">
        <f t="shared" si="1"/>
        <v>0</v>
      </c>
      <c r="N26" s="6">
        <f t="shared" si="2"/>
        <v>0</v>
      </c>
      <c r="O26" s="6">
        <f t="shared" si="3"/>
        <v>28200000000</v>
      </c>
      <c r="P26" s="6">
        <f>+'1.a sz. Önkormányzat 2022. '!LF26</f>
        <v>0</v>
      </c>
      <c r="Q26" s="6">
        <f>+'1.a sz. Önkormányzat 2022. '!LG26</f>
        <v>0</v>
      </c>
      <c r="R26" s="6">
        <f>+'1.a sz. Önkormányzat 2022. '!LH26</f>
        <v>0</v>
      </c>
      <c r="S26" s="12"/>
      <c r="Y26" s="265">
        <f>+O20-O18-O17-O16-O12-O11-O10-O9-O8</f>
        <v>0</v>
      </c>
    </row>
    <row r="27" spans="1:31" s="2" customFormat="1" ht="24.75" customHeight="1" x14ac:dyDescent="0.25">
      <c r="A27" s="382" t="s">
        <v>236</v>
      </c>
      <c r="B27" s="46" t="s">
        <v>32</v>
      </c>
      <c r="C27" s="1"/>
      <c r="D27" s="7">
        <f>+'1.b sz. Önkormányzat 2022.'!DK27+'2.10. sz. Intézmények összesen'!D28</f>
        <v>11241204916</v>
      </c>
      <c r="E27" s="7">
        <f>+'1.b sz. Önkormányzat 2022.'!DL27+'2.10. sz. Intézmények összesen'!E28</f>
        <v>13595094827</v>
      </c>
      <c r="F27" s="7">
        <f>+'2.10. sz. Intézmények összesen'!F28+'1.b sz. Önkormányzat 2022.'!DM27</f>
        <v>10094232116</v>
      </c>
      <c r="G27" s="7">
        <f>+'1.b sz. Önkormányzat 2022.'!DN27+'2.10. sz. Intézmények összesen'!G28</f>
        <v>717098621</v>
      </c>
      <c r="H27" s="7">
        <f>+'1.b sz. Önkormányzat 2022.'!DO27+'2.10. sz. Intézmények összesen'!H28</f>
        <v>900594802</v>
      </c>
      <c r="I27" s="7">
        <f>+'2.10. sz. Intézmények összesen'!I28+'1.b sz. Önkormányzat 2022.'!DP27</f>
        <v>28967312496</v>
      </c>
      <c r="J27" s="7">
        <f>+'1.b sz. Önkormányzat 2022.'!DQ27+'2.10. sz. Intézmények összesen'!J28</f>
        <v>121717677</v>
      </c>
      <c r="K27" s="7">
        <f>+'1.b sz. Önkormányzat 2022.'!DR27+'2.10. sz. Intézmények összesen'!K28</f>
        <v>157826129</v>
      </c>
      <c r="L27" s="7">
        <f>+'2.10. sz. Intézmények összesen'!L28</f>
        <v>120463999</v>
      </c>
      <c r="M27" s="7">
        <f t="shared" si="1"/>
        <v>12080021214</v>
      </c>
      <c r="N27" s="7">
        <f t="shared" si="2"/>
        <v>14653515758</v>
      </c>
      <c r="O27" s="7">
        <f t="shared" si="3"/>
        <v>39182008611</v>
      </c>
      <c r="P27" s="6">
        <f>+'1.a sz. Önkormányzat 2022. '!LF27</f>
        <v>0</v>
      </c>
      <c r="Q27" s="6">
        <f>+'1.a sz. Önkormányzat 2022. '!LG27</f>
        <v>8146942</v>
      </c>
      <c r="R27" s="6">
        <f>+'1.a sz. Önkormányzat 2022. '!LH27</f>
        <v>7985044</v>
      </c>
      <c r="S27" s="12">
        <f t="shared" ref="S27:S44" si="4">+Q27-M27</f>
        <v>-12071874272</v>
      </c>
    </row>
    <row r="28" spans="1:31" s="2" customFormat="1" ht="24.75" customHeight="1" x14ac:dyDescent="0.25">
      <c r="A28" s="382" t="s">
        <v>261</v>
      </c>
      <c r="B28" s="46" t="s">
        <v>33</v>
      </c>
      <c r="C28" s="1"/>
      <c r="D28" s="7">
        <f>+'1.b sz. Önkormányzat 2022.'!DK28+'2.10. sz. Intézmények összesen'!D29</f>
        <v>1572037560</v>
      </c>
      <c r="E28" s="7">
        <f>+'1.b sz. Önkormányzat 2022.'!DL28+'2.10. sz. Intézmények összesen'!E29</f>
        <v>1820566410</v>
      </c>
      <c r="F28" s="7">
        <f>+'2.10. sz. Intézmények összesen'!F29+'1.b sz. Önkormányzat 2022.'!DM28</f>
        <v>838535637</v>
      </c>
      <c r="G28" s="7">
        <f>+'1.b sz. Önkormányzat 2022.'!DN28+'2.10. sz. Intézmények összesen'!G29</f>
        <v>596691201</v>
      </c>
      <c r="H28" s="7">
        <f>+'1.b sz. Önkormányzat 2022.'!DO28+'2.10. sz. Intézmények összesen'!H29</f>
        <v>561309579</v>
      </c>
      <c r="I28" s="7">
        <f>+'2.10. sz. Intézmények összesen'!I29+'1.b sz. Önkormányzat 2022.'!DP28</f>
        <v>456751385</v>
      </c>
      <c r="J28" s="7">
        <f>+'1.b sz. Önkormányzat 2022.'!DQ28+'2.10. sz. Intézmények összesen'!J29</f>
        <v>7240500</v>
      </c>
      <c r="K28" s="7">
        <f>+'1.b sz. Önkormányzat 2022.'!DR28+'2.10. sz. Intézmények összesen'!K29</f>
        <v>11280737</v>
      </c>
      <c r="L28" s="7">
        <f>+'2.10. sz. Intézmények összesen'!L29</f>
        <v>5283291</v>
      </c>
      <c r="M28" s="7">
        <f t="shared" si="1"/>
        <v>2175969261</v>
      </c>
      <c r="N28" s="7">
        <f t="shared" si="2"/>
        <v>2393156726</v>
      </c>
      <c r="O28" s="7">
        <f t="shared" si="3"/>
        <v>1300570313</v>
      </c>
      <c r="P28" s="6">
        <f>+'1.a sz. Önkormányzat 2022. '!LF28</f>
        <v>7499350</v>
      </c>
      <c r="Q28" s="6">
        <f>+'1.a sz. Önkormányzat 2022. '!LG28</f>
        <v>41418264</v>
      </c>
      <c r="R28" s="6">
        <f>+'1.a sz. Önkormányzat 2022. '!LH28</f>
        <v>6604000</v>
      </c>
      <c r="S28" s="12">
        <f t="shared" si="4"/>
        <v>-2134550997</v>
      </c>
    </row>
    <row r="29" spans="1:31" s="2" customFormat="1" ht="24.75" customHeight="1" x14ac:dyDescent="0.25">
      <c r="A29" s="382" t="s">
        <v>262</v>
      </c>
      <c r="B29" s="46" t="s">
        <v>328</v>
      </c>
      <c r="C29" s="1" t="s">
        <v>31</v>
      </c>
      <c r="D29" s="7">
        <f>+'1.b sz. Önkormányzat 2022.'!DK29+'2.10. sz. Intézmények összesen'!D30</f>
        <v>12813242476</v>
      </c>
      <c r="E29" s="7">
        <f>+'1.b sz. Önkormányzat 2022.'!DL29+'2.10. sz. Intézmények összesen'!E30</f>
        <v>15415661237</v>
      </c>
      <c r="F29" s="7">
        <f>+'2.10. sz. Intézmények összesen'!F30+'1.b sz. Önkormányzat 2022.'!DM29</f>
        <v>10932767753</v>
      </c>
      <c r="G29" s="7">
        <f>+'1.b sz. Önkormányzat 2022.'!DN29+'2.10. sz. Intézmények összesen'!G30</f>
        <v>1313789822</v>
      </c>
      <c r="H29" s="7">
        <f>+'1.b sz. Önkormányzat 2022.'!DO29+'2.10. sz. Intézmények összesen'!H30</f>
        <v>1461904381</v>
      </c>
      <c r="I29" s="7">
        <f>+'2.10. sz. Intézmények összesen'!I30+'1.b sz. Önkormányzat 2022.'!DP29</f>
        <v>29424063881</v>
      </c>
      <c r="J29" s="7">
        <f>+'1.b sz. Önkormányzat 2022.'!DQ29+'2.10. sz. Intézmények összesen'!J30</f>
        <v>128958177</v>
      </c>
      <c r="K29" s="7">
        <f>+'1.b sz. Önkormányzat 2022.'!DR29+'2.10. sz. Intézmények összesen'!K30</f>
        <v>169106866</v>
      </c>
      <c r="L29" s="7">
        <f>+'2.10. sz. Intézmények összesen'!L30</f>
        <v>125747290</v>
      </c>
      <c r="M29" s="7">
        <f t="shared" si="1"/>
        <v>14255990475</v>
      </c>
      <c r="N29" s="7">
        <f t="shared" si="2"/>
        <v>17046672484</v>
      </c>
      <c r="O29" s="7">
        <f t="shared" si="3"/>
        <v>40482578924</v>
      </c>
      <c r="P29" s="6">
        <f>+'1.a sz. Önkormányzat 2022. '!LF29</f>
        <v>7499350</v>
      </c>
      <c r="Q29" s="6">
        <f>+'1.a sz. Önkormányzat 2022. '!LG29</f>
        <v>49565206</v>
      </c>
      <c r="R29" s="6">
        <f>+'1.a sz. Önkormányzat 2022. '!LH29</f>
        <v>14589044</v>
      </c>
      <c r="S29" s="12">
        <f t="shared" si="4"/>
        <v>-14206425269</v>
      </c>
      <c r="T29" s="263"/>
    </row>
    <row r="30" spans="1:31" ht="24.75" customHeight="1" x14ac:dyDescent="0.25">
      <c r="A30" s="382" t="s">
        <v>263</v>
      </c>
      <c r="B30" s="86" t="s">
        <v>52</v>
      </c>
      <c r="C30" s="89" t="s">
        <v>212</v>
      </c>
      <c r="D30" s="6">
        <f>+'1.b sz. Önkormányzat 2022.'!DK30+'2.10. sz. Intézmények összesen'!D31</f>
        <v>1822145963</v>
      </c>
      <c r="E30" s="6">
        <f>+'1.b sz. Önkormányzat 2022.'!DL30+'2.10. sz. Intézmények összesen'!E31</f>
        <v>2664419565</v>
      </c>
      <c r="F30" s="6">
        <f>+'2.10. sz. Intézmények összesen'!F31+'1.b sz. Önkormányzat 2022.'!DM30</f>
        <v>2664411565</v>
      </c>
      <c r="G30" s="6">
        <f>+'1.b sz. Önkormányzat 2022.'!DN30+'2.10. sz. Intézmények összesen'!G31</f>
        <v>0</v>
      </c>
      <c r="H30" s="6">
        <f>+'1.b sz. Önkormányzat 2022.'!DO30+'2.10. sz. Intézmények összesen'!H31</f>
        <v>662017</v>
      </c>
      <c r="I30" s="6">
        <f>+'2.10. sz. Intézmények összesen'!I31+'1.b sz. Önkormányzat 2022.'!DP30</f>
        <v>662017</v>
      </c>
      <c r="J30" s="6">
        <f>+'1.b sz. Önkormányzat 2022.'!DQ30+'2.10. sz. Intézmények összesen'!J31</f>
        <v>0</v>
      </c>
      <c r="K30" s="6">
        <f>+'1.b sz. Önkormányzat 2022.'!DR30+'2.10. sz. Intézmények összesen'!K31</f>
        <v>25517026</v>
      </c>
      <c r="L30" s="6">
        <f>+'2.10. sz. Intézmények összesen'!L31</f>
        <v>25517026</v>
      </c>
      <c r="M30" s="6">
        <f t="shared" si="1"/>
        <v>1822145963</v>
      </c>
      <c r="N30" s="6">
        <f t="shared" si="2"/>
        <v>2690598608</v>
      </c>
      <c r="O30" s="6">
        <f t="shared" si="3"/>
        <v>2690590608</v>
      </c>
      <c r="P30" s="6">
        <f>+'1.a sz. Önkormányzat 2022. '!LF30</f>
        <v>0</v>
      </c>
      <c r="Q30" s="6">
        <f>+'1.a sz. Önkormányzat 2022. '!LG30</f>
        <v>0</v>
      </c>
      <c r="R30" s="6">
        <f>+'1.a sz. Önkormányzat 2022. '!LH30</f>
        <v>0</v>
      </c>
      <c r="S30" s="12">
        <f t="shared" si="4"/>
        <v>-1822145963</v>
      </c>
      <c r="T30" s="12">
        <f>+T29-M29</f>
        <v>-14255990475</v>
      </c>
    </row>
    <row r="31" spans="1:31" ht="24.75" customHeight="1" x14ac:dyDescent="0.25">
      <c r="A31" s="382" t="s">
        <v>264</v>
      </c>
      <c r="B31" s="86" t="s">
        <v>223</v>
      </c>
      <c r="C31" s="89" t="s">
        <v>213</v>
      </c>
      <c r="D31" s="6">
        <f>+'1.b sz. Önkormányzat 2022.'!DK31+'2.10. sz. Intézmények összesen'!D32</f>
        <v>0</v>
      </c>
      <c r="E31" s="6">
        <f>+'1.b sz. Önkormányzat 2022.'!DL31+'2.10. sz. Intézmények összesen'!E32</f>
        <v>54255209</v>
      </c>
      <c r="F31" s="6">
        <f>+'2.10. sz. Intézmények összesen'!F32+'1.b sz. Önkormányzat 2022.'!DM31</f>
        <v>54255209</v>
      </c>
      <c r="G31" s="6">
        <f>+'1.b sz. Önkormányzat 2022.'!DN31+'2.10. sz. Intézmények összesen'!G32</f>
        <v>0</v>
      </c>
      <c r="H31" s="6">
        <f>+'1.b sz. Önkormányzat 2022.'!DO31+'2.10. sz. Intézmények összesen'!H32</f>
        <v>0</v>
      </c>
      <c r="I31" s="6">
        <f>+'2.10. sz. Intézmények összesen'!I32+'1.b sz. Önkormányzat 2022.'!DP31</f>
        <v>0</v>
      </c>
      <c r="J31" s="6">
        <f>+'1.b sz. Önkormányzat 2022.'!DQ31+'2.10. sz. Intézmények összesen'!J32</f>
        <v>0</v>
      </c>
      <c r="K31" s="6">
        <f>+'1.b sz. Önkormányzat 2022.'!DR31+'2.10. sz. Intézmények összesen'!K32</f>
        <v>0</v>
      </c>
      <c r="L31" s="6">
        <f>+'2.10. sz. Intézmények összesen'!L32</f>
        <v>0</v>
      </c>
      <c r="M31" s="6">
        <f t="shared" si="1"/>
        <v>0</v>
      </c>
      <c r="N31" s="6">
        <f t="shared" si="2"/>
        <v>54255209</v>
      </c>
      <c r="O31" s="6">
        <f t="shared" si="3"/>
        <v>54255209</v>
      </c>
      <c r="P31" s="6">
        <f>+'1.a sz. Önkormányzat 2022. '!LF31</f>
        <v>0</v>
      </c>
      <c r="Q31" s="6">
        <f>+'1.a sz. Önkormányzat 2022. '!LG31</f>
        <v>49565206</v>
      </c>
      <c r="R31" s="6">
        <f>+'1.a sz. Önkormányzat 2022. '!LH31</f>
        <v>49565206</v>
      </c>
      <c r="S31" s="12">
        <f t="shared" si="4"/>
        <v>49565206</v>
      </c>
    </row>
    <row r="32" spans="1:31" ht="24.75" customHeight="1" x14ac:dyDescent="0.25">
      <c r="A32" s="382" t="s">
        <v>265</v>
      </c>
      <c r="B32" s="86" t="s">
        <v>222</v>
      </c>
      <c r="C32" s="89" t="s">
        <v>214</v>
      </c>
      <c r="D32" s="6">
        <f>+'1.b sz. Önkormányzat 2022.'!DK32+'2.10. sz. Intézmények összesen'!D33</f>
        <v>3869339111</v>
      </c>
      <c r="E32" s="6">
        <f>+'1.b sz. Önkormányzat 2022.'!DL32+'2.10. sz. Intézmények összesen'!E33</f>
        <v>4719384433</v>
      </c>
      <c r="F32" s="6">
        <f>+'2.10. sz. Intézmények összesen'!F33+'1.b sz. Önkormányzat 2022.'!DM32</f>
        <v>4664046677</v>
      </c>
      <c r="G32" s="6">
        <f>+'1.b sz. Önkormányzat 2022.'!DN32+'2.10. sz. Intézmények összesen'!G33</f>
        <v>0</v>
      </c>
      <c r="H32" s="6">
        <f>+'1.b sz. Önkormányzat 2022.'!DO32+'2.10. sz. Intézmények összesen'!H33</f>
        <v>0</v>
      </c>
      <c r="I32" s="6">
        <f>+'2.10. sz. Intézmények összesen'!I33+'1.b sz. Önkormányzat 2022.'!DP32</f>
        <v>0</v>
      </c>
      <c r="J32" s="6">
        <f>+'1.b sz. Önkormányzat 2022.'!DQ32+'2.10. sz. Intézmények összesen'!J33</f>
        <v>4000000</v>
      </c>
      <c r="K32" s="6">
        <f>+'1.b sz. Önkormányzat 2022.'!DR32+'2.10. sz. Intézmények összesen'!K33</f>
        <v>4120000</v>
      </c>
      <c r="L32" s="6">
        <f>+'2.10. sz. Intézmények összesen'!L33</f>
        <v>4120000</v>
      </c>
      <c r="M32" s="6">
        <f t="shared" si="1"/>
        <v>3873339111</v>
      </c>
      <c r="N32" s="6">
        <f t="shared" si="2"/>
        <v>4723504433</v>
      </c>
      <c r="O32" s="6">
        <f t="shared" si="3"/>
        <v>4668166677</v>
      </c>
      <c r="P32" s="6">
        <f>+'1.a sz. Önkormányzat 2022. '!LF32</f>
        <v>0</v>
      </c>
      <c r="Q32" s="6">
        <f>+'1.a sz. Önkormányzat 2022. '!LG32</f>
        <v>0</v>
      </c>
      <c r="R32" s="6">
        <f>+'1.a sz. Önkormányzat 2022. '!LH32</f>
        <v>0</v>
      </c>
      <c r="S32" s="12">
        <f t="shared" si="4"/>
        <v>-3873339111</v>
      </c>
      <c r="T32" s="12">
        <f>+M31+M34+M36</f>
        <v>726666403</v>
      </c>
    </row>
    <row r="33" spans="1:20" ht="24.75" customHeight="1" x14ac:dyDescent="0.25">
      <c r="A33" s="382" t="s">
        <v>266</v>
      </c>
      <c r="B33" s="87" t="s">
        <v>0</v>
      </c>
      <c r="C33" s="89" t="s">
        <v>215</v>
      </c>
      <c r="D33" s="6">
        <f>+'1.b sz. Önkormányzat 2022.'!DK33+'2.10. sz. Intézmények összesen'!D34</f>
        <v>538397450</v>
      </c>
      <c r="E33" s="6">
        <f>+'1.b sz. Önkormányzat 2022.'!DL33+'2.10. sz. Intézmények összesen'!E34</f>
        <v>542600563</v>
      </c>
      <c r="F33" s="6">
        <f>+'2.10. sz. Intézmények összesen'!F34+'1.b sz. Önkormányzat 2022.'!DM33</f>
        <v>493667124</v>
      </c>
      <c r="G33" s="6">
        <f>+'1.b sz. Önkormányzat 2022.'!DN33+'2.10. sz. Intézmények összesen'!G34</f>
        <v>199318371</v>
      </c>
      <c r="H33" s="6">
        <f>+'1.b sz. Önkormányzat 2022.'!DO33+'2.10. sz. Intézmények összesen'!H34</f>
        <v>342110189</v>
      </c>
      <c r="I33" s="6">
        <f>+'2.10. sz. Intézmények összesen'!I34+'1.b sz. Önkormányzat 2022.'!DP33</f>
        <v>339853709</v>
      </c>
      <c r="J33" s="6">
        <f>+'1.b sz. Önkormányzat 2022.'!DQ33+'2.10. sz. Intézmények összesen'!J34</f>
        <v>0</v>
      </c>
      <c r="K33" s="6">
        <f>+'1.b sz. Önkormányzat 2022.'!DR33+'2.10. sz. Intézmények összesen'!K34</f>
        <v>10778</v>
      </c>
      <c r="L33" s="6">
        <f>+'2.10. sz. Intézmények összesen'!L34</f>
        <v>10778</v>
      </c>
      <c r="M33" s="6">
        <f>D33+G33+J33</f>
        <v>737715821</v>
      </c>
      <c r="N33" s="6">
        <f t="shared" si="2"/>
        <v>884721530</v>
      </c>
      <c r="O33" s="6">
        <f t="shared" si="3"/>
        <v>833531611</v>
      </c>
      <c r="P33" s="6">
        <f>+'1.a sz. Önkormányzat 2022. '!LF33</f>
        <v>0</v>
      </c>
      <c r="Q33" s="6">
        <f>+'1.a sz. Önkormányzat 2022. '!LG33</f>
        <v>0</v>
      </c>
      <c r="R33" s="6">
        <f>+'1.a sz. Önkormányzat 2022. '!LH33</f>
        <v>0</v>
      </c>
      <c r="S33" s="12">
        <f t="shared" si="4"/>
        <v>-737715821</v>
      </c>
    </row>
    <row r="34" spans="1:20" ht="24.75" customHeight="1" x14ac:dyDescent="0.25">
      <c r="A34" s="382" t="s">
        <v>267</v>
      </c>
      <c r="B34" s="86" t="s">
        <v>245</v>
      </c>
      <c r="C34" s="89" t="s">
        <v>216</v>
      </c>
      <c r="D34" s="6">
        <f>+'1.b sz. Önkormányzat 2022.'!DK34+'2.10. sz. Intézmények összesen'!D35</f>
        <v>0</v>
      </c>
      <c r="E34" s="6">
        <f>+'1.b sz. Önkormányzat 2022.'!DL34+'2.10. sz. Intézmények összesen'!E35</f>
        <v>115000</v>
      </c>
      <c r="F34" s="6">
        <f>+'2.10. sz. Intézmények összesen'!F35+'1.b sz. Önkormányzat 2022.'!DM34</f>
        <v>115000</v>
      </c>
      <c r="G34" s="6">
        <f>+'1.b sz. Önkormányzat 2022.'!DN34+'2.10. sz. Intézmények összesen'!G35</f>
        <v>720079203</v>
      </c>
      <c r="H34" s="6">
        <f>+'1.b sz. Önkormányzat 2022.'!DO34+'2.10. sz. Intézmények összesen'!H35</f>
        <v>741863797</v>
      </c>
      <c r="I34" s="6">
        <f>+'2.10. sz. Intézmények összesen'!I35+'1.b sz. Önkormányzat 2022.'!DP34</f>
        <v>741863797</v>
      </c>
      <c r="J34" s="6">
        <f>+'1.b sz. Önkormányzat 2022.'!DQ34+'2.10. sz. Intézmények összesen'!J35</f>
        <v>0</v>
      </c>
      <c r="K34" s="6">
        <f>+'1.b sz. Önkormányzat 2022.'!DR34+'2.10. sz. Intézmények összesen'!K35</f>
        <v>0</v>
      </c>
      <c r="L34" s="6">
        <f>+'2.10. sz. Intézmények összesen'!L35</f>
        <v>0</v>
      </c>
      <c r="M34" s="6">
        <f t="shared" si="1"/>
        <v>720079203</v>
      </c>
      <c r="N34" s="6">
        <f t="shared" si="2"/>
        <v>741978797</v>
      </c>
      <c r="O34" s="6">
        <f t="shared" si="3"/>
        <v>741978797</v>
      </c>
      <c r="P34" s="6">
        <f>+'1.a sz. Önkormányzat 2022. '!LF34</f>
        <v>0</v>
      </c>
      <c r="Q34" s="6">
        <f>+'1.a sz. Önkormányzat 2022. '!LG34</f>
        <v>0</v>
      </c>
      <c r="R34" s="6">
        <f>+'1.a sz. Önkormányzat 2022. '!LH34</f>
        <v>0</v>
      </c>
      <c r="S34" s="12">
        <f t="shared" si="4"/>
        <v>-720079203</v>
      </c>
    </row>
    <row r="35" spans="1:20" ht="24.75" customHeight="1" x14ac:dyDescent="0.25">
      <c r="A35" s="382" t="s">
        <v>268</v>
      </c>
      <c r="B35" s="86" t="s">
        <v>240</v>
      </c>
      <c r="C35" s="89" t="s">
        <v>217</v>
      </c>
      <c r="D35" s="6">
        <f>+'1.b sz. Önkormányzat 2022.'!DK35+'2.10. sz. Intézmények összesen'!D36</f>
        <v>0</v>
      </c>
      <c r="E35" s="6">
        <f>+'1.b sz. Önkormányzat 2022.'!DL35+'2.10. sz. Intézmények összesen'!E36</f>
        <v>295000</v>
      </c>
      <c r="F35" s="6">
        <f>+'2.10. sz. Intézmények összesen'!F36+'1.b sz. Önkormányzat 2022.'!DM35</f>
        <v>295000</v>
      </c>
      <c r="G35" s="6">
        <f>+'1.b sz. Önkormányzat 2022.'!DN35+'2.10. sz. Intézmények összesen'!G36</f>
        <v>0</v>
      </c>
      <c r="H35" s="6">
        <f>+'1.b sz. Önkormányzat 2022.'!DO35+'2.10. sz. Intézmények összesen'!H36</f>
        <v>0</v>
      </c>
      <c r="I35" s="6">
        <f>+'2.10. sz. Intézmények összesen'!I36+'1.b sz. Önkormányzat 2022.'!DP35</f>
        <v>0</v>
      </c>
      <c r="J35" s="6">
        <f>+'1.b sz. Önkormányzat 2022.'!DQ35+'2.10. sz. Intézmények összesen'!J36</f>
        <v>0</v>
      </c>
      <c r="K35" s="6">
        <f>+'1.b sz. Önkormányzat 2022.'!DR35+'2.10. sz. Intézmények összesen'!K36</f>
        <v>0</v>
      </c>
      <c r="L35" s="6">
        <f>+'2.10. sz. Intézmények összesen'!L36</f>
        <v>0</v>
      </c>
      <c r="M35" s="6">
        <f t="shared" si="1"/>
        <v>0</v>
      </c>
      <c r="N35" s="6">
        <f t="shared" si="2"/>
        <v>295000</v>
      </c>
      <c r="O35" s="6">
        <f t="shared" si="3"/>
        <v>295000</v>
      </c>
      <c r="P35" s="6">
        <f>+'1.a sz. Önkormányzat 2022. '!LF35</f>
        <v>0</v>
      </c>
      <c r="Q35" s="6">
        <f>+'1.a sz. Önkormányzat 2022. '!LG35</f>
        <v>0</v>
      </c>
      <c r="R35" s="6">
        <f>+'1.a sz. Önkormányzat 2022. '!LH35</f>
        <v>0</v>
      </c>
      <c r="S35" s="12">
        <f t="shared" si="4"/>
        <v>0</v>
      </c>
    </row>
    <row r="36" spans="1:20" ht="24.75" customHeight="1" x14ac:dyDescent="0.25">
      <c r="A36" s="382" t="s">
        <v>269</v>
      </c>
      <c r="B36" s="86" t="s">
        <v>241</v>
      </c>
      <c r="C36" s="89" t="s">
        <v>218</v>
      </c>
      <c r="D36" s="6">
        <f>+'1.b sz. Önkormányzat 2022.'!DK36+'2.10. sz. Intézmények összesen'!D37</f>
        <v>5088400</v>
      </c>
      <c r="E36" s="6">
        <f>+'1.b sz. Önkormányzat 2022.'!DL36+'2.10. sz. Intézmények összesen'!E37</f>
        <v>7052000</v>
      </c>
      <c r="F36" s="6">
        <f>+'2.10. sz. Intézmények összesen'!F37+'1.b sz. Önkormányzat 2022.'!DM36</f>
        <v>6918700</v>
      </c>
      <c r="G36" s="6">
        <f>+'1.b sz. Önkormányzat 2022.'!DN36+'2.10. sz. Intézmények összesen'!G37</f>
        <v>1498800</v>
      </c>
      <c r="H36" s="6">
        <f>+'1.b sz. Önkormányzat 2022.'!DO36+'2.10. sz. Intézmények összesen'!H37</f>
        <v>2489550</v>
      </c>
      <c r="I36" s="6">
        <f>+'2.10. sz. Intézmények összesen'!I37+'1.b sz. Önkormányzat 2022.'!DP36</f>
        <v>2489550</v>
      </c>
      <c r="J36" s="6">
        <f>+'1.b sz. Önkormányzat 2022.'!DQ36+'2.10. sz. Intézmények összesen'!J37</f>
        <v>0</v>
      </c>
      <c r="K36" s="6">
        <f>+'1.b sz. Önkormányzat 2022.'!DR36+'2.10. sz. Intézmények összesen'!K37</f>
        <v>0</v>
      </c>
      <c r="L36" s="6">
        <f>+'2.10. sz. Intézmények összesen'!L37</f>
        <v>0</v>
      </c>
      <c r="M36" s="6">
        <f t="shared" si="1"/>
        <v>6587200</v>
      </c>
      <c r="N36" s="6">
        <f t="shared" si="2"/>
        <v>9541550</v>
      </c>
      <c r="O36" s="6">
        <f t="shared" si="3"/>
        <v>9408250</v>
      </c>
      <c r="P36" s="6">
        <f>+'1.a sz. Önkormányzat 2022. '!LF36</f>
        <v>0</v>
      </c>
      <c r="Q36" s="6">
        <f>+'1.a sz. Önkormányzat 2022. '!LG36</f>
        <v>0</v>
      </c>
      <c r="R36" s="6">
        <f>+'1.a sz. Önkormányzat 2022. '!LH36</f>
        <v>0</v>
      </c>
      <c r="S36" s="12">
        <f t="shared" si="4"/>
        <v>-6587200</v>
      </c>
    </row>
    <row r="37" spans="1:20" s="2" customFormat="1" ht="24.75" customHeight="1" x14ac:dyDescent="0.25">
      <c r="A37" s="382" t="s">
        <v>270</v>
      </c>
      <c r="B37" s="87" t="s">
        <v>242</v>
      </c>
      <c r="C37" s="89" t="s">
        <v>219</v>
      </c>
      <c r="D37" s="7">
        <f>+'1.b sz. Önkormányzat 2022.'!DK37+'2.10. sz. Intézmények összesen'!D38</f>
        <v>6234970924</v>
      </c>
      <c r="E37" s="7">
        <f>+'1.b sz. Önkormányzat 2022.'!DL37+'2.10. sz. Intézmények összesen'!E38</f>
        <v>7988121770</v>
      </c>
      <c r="F37" s="7">
        <f>+'2.10. sz. Intézmények összesen'!F38+'1.b sz. Önkormányzat 2022.'!DM37</f>
        <v>7883709275</v>
      </c>
      <c r="G37" s="7">
        <f>+'1.b sz. Önkormányzat 2022.'!DN37+'2.10. sz. Intézmények összesen'!G38</f>
        <v>920896374</v>
      </c>
      <c r="H37" s="7">
        <f>+'1.b sz. Önkormányzat 2022.'!DO37+'2.10. sz. Intézmények összesen'!H38</f>
        <v>1087125553</v>
      </c>
      <c r="I37" s="7">
        <f>+'2.10. sz. Intézmények összesen'!I38+'1.b sz. Önkormányzat 2022.'!DP37</f>
        <v>1084869073</v>
      </c>
      <c r="J37" s="7">
        <f>+'1.b sz. Önkormányzat 2022.'!DQ37+'2.10. sz. Intézmények összesen'!J38</f>
        <v>4000000</v>
      </c>
      <c r="K37" s="7">
        <f>+'1.b sz. Önkormányzat 2022.'!DR37+'2.10. sz. Intézmények összesen'!K38</f>
        <v>29647804</v>
      </c>
      <c r="L37" s="7">
        <f>+'2.10. sz. Intézmények összesen'!L38</f>
        <v>29647804</v>
      </c>
      <c r="M37" s="7">
        <f t="shared" si="1"/>
        <v>7159867298</v>
      </c>
      <c r="N37" s="7">
        <f t="shared" si="2"/>
        <v>9104895127</v>
      </c>
      <c r="O37" s="7">
        <f t="shared" si="3"/>
        <v>8998226152</v>
      </c>
      <c r="P37" s="6">
        <f>+'1.a sz. Önkormányzat 2022. '!LF37</f>
        <v>0</v>
      </c>
      <c r="Q37" s="6">
        <f>+'1.a sz. Önkormányzat 2022. '!LG37</f>
        <v>49565206</v>
      </c>
      <c r="R37" s="6">
        <f>+'1.a sz. Önkormányzat 2022. '!LH37</f>
        <v>49565206</v>
      </c>
      <c r="S37" s="12">
        <f t="shared" si="4"/>
        <v>-7110302092</v>
      </c>
    </row>
    <row r="38" spans="1:20" s="2" customFormat="1" ht="24.75" customHeight="1" x14ac:dyDescent="0.25">
      <c r="A38" s="382" t="s">
        <v>271</v>
      </c>
      <c r="B38" s="89" t="s">
        <v>243</v>
      </c>
      <c r="C38" s="1" t="s">
        <v>221</v>
      </c>
      <c r="D38" s="6">
        <f>+'1.b sz. Önkormányzat 2022.'!DK38+'2.10. sz. Intézmények összesen'!D39</f>
        <v>7096123177</v>
      </c>
      <c r="E38" s="6">
        <f>+'1.b sz. Önkormányzat 2022.'!DL38+'2.10. sz. Intézmények összesen'!E39</f>
        <v>7941777357</v>
      </c>
      <c r="F38" s="6">
        <f>+'2.10. sz. Intézmények összesen'!F39+'1.b sz. Önkormányzat 2022.'!DM38</f>
        <v>7379789364</v>
      </c>
      <c r="G38" s="6">
        <f>+'1.b sz. Önkormányzat 2022.'!DN38+'2.10. sz. Intézmények összesen'!G39</f>
        <v>0</v>
      </c>
      <c r="H38" s="6">
        <f>+'1.b sz. Önkormányzat 2022.'!DO38+'2.10. sz. Intézmények összesen'!H39</f>
        <v>0</v>
      </c>
      <c r="I38" s="6">
        <f>+'2.10. sz. Intézmények összesen'!I39+'1.b sz. Önkormányzat 2022.'!DP38</f>
        <v>28200000000</v>
      </c>
      <c r="J38" s="6">
        <f>+'1.b sz. Önkormányzat 2022.'!DQ38+'2.10. sz. Intézmények összesen'!J39</f>
        <v>0</v>
      </c>
      <c r="K38" s="6">
        <f>+'1.b sz. Önkormányzat 2022.'!DR38+'2.10. sz. Intézmények összesen'!K39</f>
        <v>0</v>
      </c>
      <c r="L38" s="6">
        <f>+'2.10. sz. Intézmények összesen'!L39</f>
        <v>0</v>
      </c>
      <c r="M38" s="6">
        <f t="shared" si="1"/>
        <v>7096123177</v>
      </c>
      <c r="N38" s="6">
        <f t="shared" si="2"/>
        <v>7941777357</v>
      </c>
      <c r="O38" s="6">
        <f t="shared" si="3"/>
        <v>35579789364</v>
      </c>
      <c r="P38" s="6">
        <f>+'1.a sz. Önkormányzat 2022. '!LF38</f>
        <v>0</v>
      </c>
      <c r="Q38" s="6">
        <f>+'1.a sz. Önkormányzat 2022. '!LG38</f>
        <v>0</v>
      </c>
      <c r="R38" s="6">
        <f>+'1.a sz. Önkormányzat 2022. '!LH38</f>
        <v>0</v>
      </c>
      <c r="S38" s="12">
        <f t="shared" si="4"/>
        <v>-7096123177</v>
      </c>
    </row>
    <row r="39" spans="1:20" s="2" customFormat="1" ht="24.75" customHeight="1" x14ac:dyDescent="0.25">
      <c r="A39" s="382" t="s">
        <v>272</v>
      </c>
      <c r="B39" s="90" t="s">
        <v>533</v>
      </c>
      <c r="C39" s="1"/>
      <c r="D39" s="6">
        <f>+'1.b sz. Önkormányzat 2022.'!DK39+'2.10. sz. Intézmények összesen'!D40</f>
        <v>0</v>
      </c>
      <c r="E39" s="6">
        <f>+'1.b sz. Önkormányzat 2022.'!DL39+'2.10. sz. Intézmények összesen'!E40</f>
        <v>367105047</v>
      </c>
      <c r="F39" s="6">
        <f>+'2.10. sz. Intézmények összesen'!F40+'1.b sz. Önkormányzat 2022.'!DM39</f>
        <v>367105047</v>
      </c>
      <c r="G39" s="6">
        <f>+'1.b sz. Önkormányzat 2022.'!DN39+'2.10. sz. Intézmények összesen'!G40</f>
        <v>0</v>
      </c>
      <c r="H39" s="6">
        <f>+'1.b sz. Önkormányzat 2022.'!DO39+'2.10. sz. Intézmények összesen'!H40</f>
        <v>0</v>
      </c>
      <c r="I39" s="6">
        <f>+'2.10. sz. Intézmények összesen'!I40+'1.b sz. Önkormányzat 2022.'!DP39</f>
        <v>0</v>
      </c>
      <c r="J39" s="6">
        <f>+'1.b sz. Önkormányzat 2022.'!DQ39+'2.10. sz. Intézmények összesen'!J40</f>
        <v>0</v>
      </c>
      <c r="K39" s="6">
        <f>+'1.b sz. Önkormányzat 2022.'!DR39+'2.10. sz. Intézmények összesen'!K40</f>
        <v>0</v>
      </c>
      <c r="L39" s="6">
        <f>+'2.10. sz. Intézmények összesen'!L40</f>
        <v>0</v>
      </c>
      <c r="M39" s="6">
        <f t="shared" si="1"/>
        <v>0</v>
      </c>
      <c r="N39" s="6">
        <f t="shared" si="2"/>
        <v>367105047</v>
      </c>
      <c r="O39" s="6">
        <f t="shared" si="3"/>
        <v>367105047</v>
      </c>
      <c r="P39" s="6">
        <f>+'1.a sz. Önkormányzat 2022. '!LF39</f>
        <v>0</v>
      </c>
      <c r="Q39" s="6">
        <f>+'1.a sz. Önkormányzat 2022. '!LG39</f>
        <v>0</v>
      </c>
      <c r="R39" s="6">
        <f>+'1.a sz. Önkormányzat 2022. '!LH39</f>
        <v>0</v>
      </c>
      <c r="S39" s="12">
        <f t="shared" si="4"/>
        <v>0</v>
      </c>
    </row>
    <row r="40" spans="1:20" s="15" customFormat="1" ht="24.75" customHeight="1" x14ac:dyDescent="0.25">
      <c r="A40" s="382" t="s">
        <v>273</v>
      </c>
      <c r="B40" s="90" t="s">
        <v>768</v>
      </c>
      <c r="C40" s="14"/>
      <c r="D40" s="6">
        <f>+'1.b sz. Önkormányzat 2022.'!DK40+'2.10. sz. Intézmények összesen'!D41</f>
        <v>2257836308</v>
      </c>
      <c r="E40" s="6">
        <f>+'1.b sz. Önkormányzat 2022.'!DL40+'2.10. sz. Intézmények összesen'!E41</f>
        <v>2417169015</v>
      </c>
      <c r="F40" s="6">
        <f>+'2.10. sz. Intézmények összesen'!F41+'1.b sz. Önkormányzat 2022.'!DM40</f>
        <v>2417169015</v>
      </c>
      <c r="G40" s="6">
        <f>+'1.b sz. Önkormányzat 2022.'!DN40+'2.10. sz. Intézmények összesen'!G41</f>
        <v>0</v>
      </c>
      <c r="H40" s="6">
        <f>+'1.b sz. Önkormányzat 2022.'!DO40+'2.10. sz. Intézmények összesen'!H41</f>
        <v>0</v>
      </c>
      <c r="I40" s="6">
        <f>+'2.10. sz. Intézmények összesen'!I41+'1.b sz. Önkormányzat 2022.'!DP40</f>
        <v>0</v>
      </c>
      <c r="J40" s="6">
        <f>+'1.b sz. Önkormányzat 2022.'!DQ40+'2.10. sz. Intézmények összesen'!J41</f>
        <v>0</v>
      </c>
      <c r="K40" s="6">
        <f>+'1.b sz. Önkormányzat 2022.'!DR40+'2.10. sz. Intézmények összesen'!K41</f>
        <v>0</v>
      </c>
      <c r="L40" s="6">
        <f>+'2.10. sz. Intézmények összesen'!L41</f>
        <v>0</v>
      </c>
      <c r="M40" s="6">
        <f t="shared" si="1"/>
        <v>2257836308</v>
      </c>
      <c r="N40" s="6">
        <f t="shared" si="2"/>
        <v>2417169015</v>
      </c>
      <c r="O40" s="6">
        <f t="shared" si="3"/>
        <v>2417169015</v>
      </c>
      <c r="P40" s="6">
        <f>+'1.a sz. Önkormányzat 2022. '!LF40</f>
        <v>0</v>
      </c>
      <c r="Q40" s="6">
        <f>+'1.a sz. Önkormányzat 2022. '!LG40</f>
        <v>0</v>
      </c>
      <c r="R40" s="6">
        <f>+'1.a sz. Önkormányzat 2022. '!LH40</f>
        <v>0</v>
      </c>
      <c r="S40" s="12">
        <f t="shared" si="4"/>
        <v>-2257836308</v>
      </c>
      <c r="T40" s="265"/>
    </row>
    <row r="41" spans="1:20" s="15" customFormat="1" ht="24.75" customHeight="1" x14ac:dyDescent="0.25">
      <c r="A41" s="382" t="s">
        <v>277</v>
      </c>
      <c r="B41" s="90" t="s">
        <v>769</v>
      </c>
      <c r="C41" s="14"/>
      <c r="D41" s="6">
        <f>+'1.b sz. Önkormányzat 2022.'!DK41+'2.10. sz. Intézmények összesen'!D42</f>
        <v>1262494826</v>
      </c>
      <c r="E41" s="6">
        <f>+'1.b sz. Önkormányzat 2022.'!DL41+'2.10. sz. Intézmények összesen'!E42</f>
        <v>1372755016</v>
      </c>
      <c r="F41" s="6">
        <f>+'2.10. sz. Intézmények összesen'!F42+'1.b sz. Önkormányzat 2022.'!DM41</f>
        <v>1372755016</v>
      </c>
      <c r="G41" s="6">
        <f>+'1.b sz. Önkormányzat 2022.'!DN41+'2.10. sz. Intézmények összesen'!G42</f>
        <v>0</v>
      </c>
      <c r="H41" s="6">
        <f>+'1.b sz. Önkormányzat 2022.'!DO41+'2.10. sz. Intézmények összesen'!H42</f>
        <v>0</v>
      </c>
      <c r="I41" s="6">
        <f>+'2.10. sz. Intézmények összesen'!I42+'1.b sz. Önkormányzat 2022.'!DP41</f>
        <v>0</v>
      </c>
      <c r="J41" s="6">
        <f>+'1.b sz. Önkormányzat 2022.'!DQ41+'2.10. sz. Intézmények összesen'!J42</f>
        <v>0</v>
      </c>
      <c r="K41" s="6">
        <f>+'1.b sz. Önkormányzat 2022.'!DR41+'2.10. sz. Intézmények összesen'!K42</f>
        <v>0</v>
      </c>
      <c r="L41" s="6">
        <f>+'2.10. sz. Intézmények összesen'!L42</f>
        <v>0</v>
      </c>
      <c r="M41" s="6">
        <f t="shared" si="1"/>
        <v>1262494826</v>
      </c>
      <c r="N41" s="6">
        <f t="shared" si="2"/>
        <v>1372755016</v>
      </c>
      <c r="O41" s="6">
        <f t="shared" si="3"/>
        <v>1372755016</v>
      </c>
      <c r="P41" s="6">
        <f>+'1.a sz. Önkormányzat 2022. '!LF41</f>
        <v>0</v>
      </c>
      <c r="Q41" s="6">
        <f>+'1.a sz. Önkormányzat 2022. '!LG41</f>
        <v>0</v>
      </c>
      <c r="R41" s="6">
        <f>+'1.a sz. Önkormányzat 2022. '!LH41</f>
        <v>0</v>
      </c>
      <c r="S41" s="12">
        <f t="shared" si="4"/>
        <v>-1262494826</v>
      </c>
      <c r="T41" s="265"/>
    </row>
    <row r="42" spans="1:20" s="15" customFormat="1" ht="24.75" customHeight="1" x14ac:dyDescent="0.25">
      <c r="A42" s="382" t="s">
        <v>278</v>
      </c>
      <c r="B42" s="90" t="s">
        <v>506</v>
      </c>
      <c r="C42" s="14"/>
      <c r="D42" s="6">
        <f>+'1.b sz. Önkormányzat 2022.'!DK42+'2.10. sz. Intézmények összesen'!D43</f>
        <v>3513510223</v>
      </c>
      <c r="E42" s="6">
        <f>+'1.b sz. Önkormányzat 2022.'!DL42+'2.10. sz. Intézmények összesen'!E43</f>
        <v>3686246941</v>
      </c>
      <c r="F42" s="6">
        <f>+'2.10. sz. Intézmények összesen'!F43+'1.b sz. Önkormányzat 2022.'!DM42</f>
        <v>3124258948</v>
      </c>
      <c r="G42" s="6">
        <f>+'1.b sz. Önkormányzat 2022.'!DN42+'2.10. sz. Intézmények összesen'!G43</f>
        <v>0</v>
      </c>
      <c r="H42" s="6">
        <f>+'1.b sz. Önkormányzat 2022.'!DO42+'2.10. sz. Intézmények összesen'!H43</f>
        <v>0</v>
      </c>
      <c r="I42" s="6">
        <f>+'2.10. sz. Intézmények összesen'!I43+'1.b sz. Önkormányzat 2022.'!DP42</f>
        <v>0</v>
      </c>
      <c r="J42" s="6">
        <f>+'1.b sz. Önkormányzat 2022.'!DQ42+'2.10. sz. Intézmények összesen'!J43</f>
        <v>0</v>
      </c>
      <c r="K42" s="6">
        <f>+'1.b sz. Önkormányzat 2022.'!DR42+'2.10. sz. Intézmények összesen'!K43</f>
        <v>0</v>
      </c>
      <c r="L42" s="6">
        <f>+'2.10. sz. Intézmények összesen'!L43</f>
        <v>0</v>
      </c>
      <c r="M42" s="6">
        <f t="shared" si="1"/>
        <v>3513510223</v>
      </c>
      <c r="N42" s="6">
        <f t="shared" si="2"/>
        <v>3686246941</v>
      </c>
      <c r="O42" s="6">
        <f t="shared" si="3"/>
        <v>3124258948</v>
      </c>
      <c r="P42" s="6">
        <f>+'1.a sz. Önkormányzat 2022. '!LF42</f>
        <v>0</v>
      </c>
      <c r="Q42" s="6">
        <f>+'1.a sz. Önkormányzat 2022. '!LG42</f>
        <v>0</v>
      </c>
      <c r="R42" s="6">
        <f>+'1.a sz. Önkormányzat 2022. '!LH42</f>
        <v>0</v>
      </c>
      <c r="S42" s="12">
        <f t="shared" si="4"/>
        <v>-3513510223</v>
      </c>
    </row>
    <row r="43" spans="1:20" s="15" customFormat="1" ht="24.75" customHeight="1" x14ac:dyDescent="0.25">
      <c r="A43" s="382" t="s">
        <v>279</v>
      </c>
      <c r="B43" s="90" t="s">
        <v>507</v>
      </c>
      <c r="C43" s="14"/>
      <c r="D43" s="6">
        <f>+'1.b sz. Önkormányzat 2022.'!DK43+'2.10. sz. Intézmények összesen'!D44</f>
        <v>62281820</v>
      </c>
      <c r="E43" s="6">
        <f>+'1.b sz. Önkormányzat 2022.'!DL43+'2.10. sz. Intézmények összesen'!E44</f>
        <v>98501338</v>
      </c>
      <c r="F43" s="6">
        <f>+'2.10. sz. Intézmények összesen'!F44+'1.b sz. Önkormányzat 2022.'!DM43</f>
        <v>98501338</v>
      </c>
      <c r="G43" s="6">
        <f>+'1.b sz. Önkormányzat 2022.'!DN43+'2.10. sz. Intézmények összesen'!G44</f>
        <v>0</v>
      </c>
      <c r="H43" s="6">
        <f>+'1.b sz. Önkormányzat 2022.'!DO43+'2.10. sz. Intézmények összesen'!H44</f>
        <v>0</v>
      </c>
      <c r="I43" s="6">
        <f>+'2.10. sz. Intézmények összesen'!I44+'1.b sz. Önkormányzat 2022.'!DP43</f>
        <v>0</v>
      </c>
      <c r="J43" s="6">
        <f>+'1.b sz. Önkormányzat 2022.'!DQ43+'2.10. sz. Intézmények összesen'!J44</f>
        <v>0</v>
      </c>
      <c r="K43" s="6">
        <f>+'1.b sz. Önkormányzat 2022.'!DR43+'2.10. sz. Intézmények összesen'!K44</f>
        <v>0</v>
      </c>
      <c r="L43" s="6">
        <f>+'2.10. sz. Intézmények összesen'!L44</f>
        <v>0</v>
      </c>
      <c r="M43" s="6">
        <f t="shared" si="1"/>
        <v>62281820</v>
      </c>
      <c r="N43" s="6">
        <f t="shared" si="2"/>
        <v>98501338</v>
      </c>
      <c r="O43" s="6">
        <f t="shared" si="3"/>
        <v>98501338</v>
      </c>
      <c r="P43" s="6">
        <f>+'1.a sz. Önkormányzat 2022. '!LF43</f>
        <v>0</v>
      </c>
      <c r="Q43" s="6">
        <f>+'1.a sz. Önkormányzat 2022. '!LG43</f>
        <v>0</v>
      </c>
      <c r="R43" s="6">
        <f>+'1.a sz. Önkormányzat 2022. '!LH43</f>
        <v>0</v>
      </c>
      <c r="S43" s="12">
        <f t="shared" si="4"/>
        <v>-62281820</v>
      </c>
    </row>
    <row r="44" spans="1:20" s="15" customFormat="1" ht="24.75" customHeight="1" x14ac:dyDescent="0.25">
      <c r="A44" s="382" t="s">
        <v>280</v>
      </c>
      <c r="B44" s="90" t="s">
        <v>542</v>
      </c>
      <c r="C44" s="14"/>
      <c r="D44" s="6">
        <f>+'1.b sz. Önkormányzat 2022.'!DK44+'2.10. sz. Intézmények összesen'!D45</f>
        <v>0</v>
      </c>
      <c r="E44" s="6">
        <f>+'1.b sz. Önkormányzat 2022.'!DL44+'2.10. sz. Intézmények összesen'!E45</f>
        <v>0</v>
      </c>
      <c r="F44" s="6">
        <f>+'2.10. sz. Intézmények összesen'!F45+'1.b sz. Önkormányzat 2022.'!DM44</f>
        <v>0</v>
      </c>
      <c r="G44" s="6">
        <f>+'1.b sz. Önkormányzat 2022.'!DN44+'2.10. sz. Intézmények összesen'!G45</f>
        <v>0</v>
      </c>
      <c r="H44" s="6">
        <f>+'1.b sz. Önkormányzat 2022.'!DO44+'2.10. sz. Intézmények összesen'!H45</f>
        <v>0</v>
      </c>
      <c r="I44" s="6">
        <f>+'2.10. sz. Intézmények összesen'!I45+'1.b sz. Önkormányzat 2022.'!DP44</f>
        <v>0</v>
      </c>
      <c r="J44" s="6">
        <f>+'1.b sz. Önkormányzat 2022.'!DQ44+'2.10. sz. Intézmények összesen'!J45</f>
        <v>0</v>
      </c>
      <c r="K44" s="6">
        <f>+'1.b sz. Önkormányzat 2022.'!DR44+'2.10. sz. Intézmények összesen'!K45</f>
        <v>0</v>
      </c>
      <c r="L44" s="6">
        <f>+'2.10. sz. Intézmények összesen'!L45</f>
        <v>0</v>
      </c>
      <c r="M44" s="6">
        <f t="shared" si="1"/>
        <v>0</v>
      </c>
      <c r="N44" s="6">
        <f t="shared" si="2"/>
        <v>0</v>
      </c>
      <c r="O44" s="6">
        <f t="shared" si="3"/>
        <v>0</v>
      </c>
      <c r="P44" s="6">
        <f>+'1.a sz. Önkormányzat 2022. '!LF44</f>
        <v>0</v>
      </c>
      <c r="Q44" s="6">
        <f>+'1.a sz. Önkormányzat 2022. '!LG44</f>
        <v>0</v>
      </c>
      <c r="R44" s="6">
        <f>+'1.a sz. Önkormányzat 2022. '!LH44</f>
        <v>0</v>
      </c>
      <c r="S44" s="12">
        <f t="shared" si="4"/>
        <v>0</v>
      </c>
    </row>
    <row r="45" spans="1:20" s="15" customFormat="1" ht="24.75" customHeight="1" x14ac:dyDescent="0.25">
      <c r="A45" s="382" t="s">
        <v>281</v>
      </c>
      <c r="B45" s="90" t="s">
        <v>741</v>
      </c>
      <c r="C45" s="14"/>
      <c r="D45" s="6">
        <f>+'1.b sz. Önkormányzat 2022.'!DK45+'2.10. sz. Intézmények összesen'!D46</f>
        <v>0</v>
      </c>
      <c r="E45" s="6">
        <f>+'1.b sz. Önkormányzat 2022.'!DL45+'2.10. sz. Intézmények összesen'!E46</f>
        <v>0</v>
      </c>
      <c r="F45" s="6">
        <f>+'2.10. sz. Intézmények összesen'!F46+'1.b sz. Önkormányzat 2022.'!DM45</f>
        <v>0</v>
      </c>
      <c r="G45" s="6">
        <f>+'1.b sz. Önkormányzat 2022.'!DN45+'2.10. sz. Intézmények összesen'!G46</f>
        <v>0</v>
      </c>
      <c r="H45" s="6">
        <f>+'1.b sz. Önkormányzat 2022.'!DO45+'2.10. sz. Intézmények összesen'!H46</f>
        <v>0</v>
      </c>
      <c r="I45" s="6">
        <f>+'2.10. sz. Intézmények összesen'!I46+'1.b sz. Önkormányzat 2022.'!DP45</f>
        <v>28200000000</v>
      </c>
      <c r="J45" s="6">
        <f>+'1.b sz. Önkormányzat 2022.'!DQ45+'2.10. sz. Intézmények összesen'!J46</f>
        <v>0</v>
      </c>
      <c r="K45" s="6">
        <f>+'1.b sz. Önkormányzat 2022.'!DR45+'2.10. sz. Intézmények összesen'!K46</f>
        <v>0</v>
      </c>
      <c r="L45" s="6">
        <f>+'2.10. sz. Intézmények összesen'!L46</f>
        <v>0</v>
      </c>
      <c r="M45" s="6">
        <f t="shared" si="1"/>
        <v>0</v>
      </c>
      <c r="N45" s="6">
        <f t="shared" si="2"/>
        <v>0</v>
      </c>
      <c r="O45" s="6">
        <f t="shared" si="3"/>
        <v>28200000000</v>
      </c>
      <c r="P45" s="6">
        <f>+'1.a sz. Önkormányzat 2022. '!LF45</f>
        <v>0</v>
      </c>
      <c r="Q45" s="6">
        <f>+'1.a sz. Önkormányzat 2022. '!LG45</f>
        <v>0</v>
      </c>
      <c r="R45" s="6">
        <f>+'1.a sz. Önkormányzat 2022. '!LH45</f>
        <v>0</v>
      </c>
      <c r="S45" s="12"/>
    </row>
    <row r="46" spans="1:20" s="2" customFormat="1" ht="24.75" customHeight="1" x14ac:dyDescent="0.25">
      <c r="A46" s="382" t="s">
        <v>282</v>
      </c>
      <c r="B46" s="46" t="s">
        <v>109</v>
      </c>
      <c r="C46" s="1"/>
      <c r="D46" s="7">
        <f>+'1.b sz. Önkormányzat 2022.'!DK46+'2.10. sz. Intézmények összesen'!D47</f>
        <v>12001229055</v>
      </c>
      <c r="E46" s="7">
        <f>+'1.b sz. Önkormányzat 2022.'!DL46+'2.10. sz. Intézmények összesen'!E47</f>
        <v>14397220564</v>
      </c>
      <c r="F46" s="7">
        <f>+'2.10. sz. Intézmények összesen'!F47+'1.b sz. Önkormányzat 2022.'!DM46</f>
        <v>13730953376</v>
      </c>
      <c r="G46" s="7">
        <f>+'1.b sz. Önkormányzat 2022.'!DN46+'2.10. sz. Intézmények összesen'!G47</f>
        <v>199318371</v>
      </c>
      <c r="H46" s="7">
        <f>+'1.b sz. Önkormányzat 2022.'!DO46+'2.10. sz. Intézmények összesen'!H47</f>
        <v>342772206</v>
      </c>
      <c r="I46" s="7">
        <f>+'2.10. sz. Intézmények összesen'!I47+'1.b sz. Önkormányzat 2022.'!DP46</f>
        <v>28540515726</v>
      </c>
      <c r="J46" s="7">
        <f>+'1.b sz. Önkormányzat 2022.'!DQ46+'2.10. sz. Intézmények összesen'!J47</f>
        <v>4000000</v>
      </c>
      <c r="K46" s="7">
        <f>+'1.b sz. Önkormányzat 2022.'!DR46+'2.10. sz. Intézmények összesen'!K47</f>
        <v>29647804</v>
      </c>
      <c r="L46" s="7">
        <f>+'2.10. sz. Intézmények összesen'!L47</f>
        <v>29647804</v>
      </c>
      <c r="M46" s="7">
        <f t="shared" si="1"/>
        <v>12204547426</v>
      </c>
      <c r="N46" s="7">
        <f t="shared" si="2"/>
        <v>14769640574</v>
      </c>
      <c r="O46" s="7">
        <f t="shared" si="3"/>
        <v>42301116906</v>
      </c>
      <c r="P46" s="6">
        <f>+'1.a sz. Önkormányzat 2022. '!LF46</f>
        <v>0</v>
      </c>
      <c r="Q46" s="6">
        <f>+'1.a sz. Önkormányzat 2022. '!LG46</f>
        <v>0</v>
      </c>
      <c r="R46" s="6">
        <f>+'1.a sz. Önkormányzat 2022. '!LH46</f>
        <v>0</v>
      </c>
      <c r="S46" s="12">
        <f>+Q46-M46</f>
        <v>-12204547426</v>
      </c>
    </row>
    <row r="47" spans="1:20" s="2" customFormat="1" ht="24.75" customHeight="1" x14ac:dyDescent="0.25">
      <c r="A47" s="382" t="s">
        <v>283</v>
      </c>
      <c r="B47" s="46" t="s">
        <v>110</v>
      </c>
      <c r="C47" s="1"/>
      <c r="D47" s="7">
        <f>+'1.b sz. Önkormányzat 2022.'!DK47+'2.10. sz. Intézmények összesen'!D48</f>
        <v>1329865046</v>
      </c>
      <c r="E47" s="7">
        <f>+'1.b sz. Önkormányzat 2022.'!DL47+'2.10. sz. Intézmények összesen'!E48</f>
        <v>1532678563</v>
      </c>
      <c r="F47" s="7">
        <f>+'2.10. sz. Intézmények összesen'!F48+'1.b sz. Önkormányzat 2022.'!DM47</f>
        <v>1532545263</v>
      </c>
      <c r="G47" s="7">
        <f>+'1.b sz. Önkormányzat 2022.'!DN47+'2.10. sz. Intézmények összesen'!G48</f>
        <v>721578003</v>
      </c>
      <c r="H47" s="7">
        <f>+'1.b sz. Önkormányzat 2022.'!DO47+'2.10. sz. Intézmények összesen'!H48</f>
        <v>744353347</v>
      </c>
      <c r="I47" s="7">
        <f>+'2.10. sz. Intézmények összesen'!I48+'1.b sz. Önkormányzat 2022.'!DP47</f>
        <v>744353347</v>
      </c>
      <c r="J47" s="7">
        <f>+'1.b sz. Önkormányzat 2022.'!DQ47+'2.10. sz. Intézmények összesen'!J48</f>
        <v>0</v>
      </c>
      <c r="K47" s="7">
        <f>+'1.b sz. Önkormányzat 2022.'!DR47+'2.10. sz. Intézmények összesen'!K48</f>
        <v>0</v>
      </c>
      <c r="L47" s="7">
        <f>+'2.10. sz. Intézmények összesen'!L48</f>
        <v>0</v>
      </c>
      <c r="M47" s="7">
        <f t="shared" si="1"/>
        <v>2051443049</v>
      </c>
      <c r="N47" s="7">
        <f t="shared" si="2"/>
        <v>2277031910</v>
      </c>
      <c r="O47" s="7">
        <f t="shared" si="3"/>
        <v>2276898610</v>
      </c>
      <c r="P47" s="6">
        <f>+'1.a sz. Önkormányzat 2022. '!LF47</f>
        <v>0</v>
      </c>
      <c r="Q47" s="6">
        <f>+'1.a sz. Önkormányzat 2022. '!LG47</f>
        <v>49565206</v>
      </c>
      <c r="R47" s="6">
        <f>+'1.a sz. Önkormányzat 2022. '!LH47</f>
        <v>49565206</v>
      </c>
      <c r="S47" s="12">
        <f>+Q47-M47</f>
        <v>-2001877843</v>
      </c>
      <c r="T47" s="216"/>
    </row>
    <row r="48" spans="1:20" s="2" customFormat="1" ht="24.75" customHeight="1" x14ac:dyDescent="0.25">
      <c r="A48" s="382" t="s">
        <v>284</v>
      </c>
      <c r="B48" s="46" t="s">
        <v>329</v>
      </c>
      <c r="C48" s="1" t="s">
        <v>777</v>
      </c>
      <c r="D48" s="7">
        <f>+'1.b sz. Önkormányzat 2022.'!DK48+'2.10. sz. Intézmények összesen'!D49</f>
        <v>13331094101</v>
      </c>
      <c r="E48" s="7">
        <f>+'1.b sz. Önkormányzat 2022.'!DL48+'2.10. sz. Intézmények összesen'!E49</f>
        <v>15929899127</v>
      </c>
      <c r="F48" s="7">
        <f>+'2.10. sz. Intézmények összesen'!F49+'1.b sz. Önkormányzat 2022.'!DM48</f>
        <v>15263498639</v>
      </c>
      <c r="G48" s="7">
        <f>+'1.b sz. Önkormányzat 2022.'!DN48+'2.10. sz. Intézmények összesen'!G49</f>
        <v>920896374</v>
      </c>
      <c r="H48" s="7">
        <f>+'1.b sz. Önkormányzat 2022.'!DO48+'2.10. sz. Intézmények összesen'!H49</f>
        <v>1087125553</v>
      </c>
      <c r="I48" s="7">
        <f>+'2.10. sz. Intézmények összesen'!I49+'1.b sz. Önkormányzat 2022.'!DP48</f>
        <v>29284869073</v>
      </c>
      <c r="J48" s="7">
        <f>+'1.b sz. Önkormányzat 2022.'!DQ48+'2.10. sz. Intézmények összesen'!J49</f>
        <v>4000000</v>
      </c>
      <c r="K48" s="7">
        <f>+'1.b sz. Önkormányzat 2022.'!DR48+'2.10. sz. Intézmények összesen'!K49</f>
        <v>29647804</v>
      </c>
      <c r="L48" s="7">
        <f>+'2.10. sz. Intézmények összesen'!L49</f>
        <v>29647804</v>
      </c>
      <c r="M48" s="7">
        <f t="shared" si="1"/>
        <v>14255990475</v>
      </c>
      <c r="N48" s="7">
        <f t="shared" si="2"/>
        <v>17046672484</v>
      </c>
      <c r="O48" s="7">
        <f t="shared" si="3"/>
        <v>44578015516</v>
      </c>
      <c r="P48" s="6">
        <f>+'1.a sz. Önkormányzat 2022. '!LF48</f>
        <v>0</v>
      </c>
      <c r="Q48" s="6">
        <f>+'1.a sz. Önkormányzat 2022. '!LG48</f>
        <v>49565206</v>
      </c>
      <c r="R48" s="6">
        <f>+'1.a sz. Önkormányzat 2022. '!LH48</f>
        <v>49565206</v>
      </c>
      <c r="S48" s="12">
        <f>+Q48-M48</f>
        <v>-14206425269</v>
      </c>
    </row>
    <row r="49" spans="1:21" s="776" customFormat="1" ht="24.75" customHeight="1" x14ac:dyDescent="0.25">
      <c r="A49" s="772" t="s">
        <v>285</v>
      </c>
      <c r="B49" s="296" t="s">
        <v>2075</v>
      </c>
      <c r="C49" s="773"/>
      <c r="D49" s="774">
        <f>+'1.b sz. Önkormányzat 2022.'!DK49+'2.10. sz. Intézmények összesen'!D50</f>
        <v>355</v>
      </c>
      <c r="E49" s="774">
        <f>+'1.b sz. Önkormányzat 2022.'!DL49+'2.10. sz. Intézmények összesen'!E50</f>
        <v>355</v>
      </c>
      <c r="F49" s="774">
        <f>+'2.10. sz. Intézmények összesen'!F50+'1.b sz. Önkormányzat 2022.'!DM49</f>
        <v>326.09999999999997</v>
      </c>
      <c r="G49" s="774">
        <f>+'1.b sz. Önkormányzat 2022.'!DN49+'2.10. sz. Intézmények összesen'!G50</f>
        <v>19</v>
      </c>
      <c r="H49" s="774">
        <f>+'1.b sz. Önkormányzat 2022.'!DO49+'2.10. sz. Intézmények összesen'!H50</f>
        <v>19</v>
      </c>
      <c r="I49" s="774">
        <f>+'1.b sz. Önkormányzat 2022.'!DP49+'2.10. sz. Intézmények összesen'!I50</f>
        <v>19</v>
      </c>
      <c r="J49" s="774">
        <f>+'1.b sz. Önkormányzat 2022.'!DQ49+'2.10. sz. Intézmények összesen'!J50</f>
        <v>9</v>
      </c>
      <c r="K49" s="774">
        <f>+'1.b sz. Önkormányzat 2022.'!DR49+'2.10. sz. Intézmények összesen'!K50</f>
        <v>9</v>
      </c>
      <c r="L49" s="774">
        <f>+'2.10. sz. Intézmények összesen'!L50</f>
        <v>8.8000000000000007</v>
      </c>
      <c r="M49" s="774">
        <f t="shared" si="1"/>
        <v>383</v>
      </c>
      <c r="N49" s="774">
        <f t="shared" si="2"/>
        <v>383</v>
      </c>
      <c r="O49" s="774">
        <f>F49+I49+L49</f>
        <v>353.9</v>
      </c>
      <c r="P49" s="6">
        <f>+'1.a sz. Önkormányzat 2022. '!LF49</f>
        <v>0</v>
      </c>
      <c r="Q49" s="6">
        <f>+'1.a sz. Önkormányzat 2022. '!LG49</f>
        <v>0</v>
      </c>
      <c r="R49" s="6">
        <f>+'1.a sz. Önkormányzat 2022. '!LH49</f>
        <v>0</v>
      </c>
      <c r="S49" s="775">
        <f>+Q49-M49</f>
        <v>-383</v>
      </c>
    </row>
    <row r="50" spans="1:21" s="2" customFormat="1" ht="24.75" customHeight="1" x14ac:dyDescent="0.25">
      <c r="A50" s="382" t="s">
        <v>286</v>
      </c>
      <c r="B50" s="46" t="s">
        <v>964</v>
      </c>
      <c r="C50" s="1"/>
      <c r="D50" s="6">
        <f>+'1.b sz. Önkormányzat 2022.'!DK50+'2.10. sz. Intézmények összesen'!D51</f>
        <v>940000000</v>
      </c>
      <c r="E50" s="6">
        <f>+'1.b sz. Önkormányzat 2022.'!DL50+'2.10. sz. Intézmények összesen'!E51</f>
        <v>905879500</v>
      </c>
      <c r="F50" s="6"/>
      <c r="G50" s="6">
        <f>+'1.b sz. Önkormányzat 2022.'!DN50+'2.10. sz. Intézmények összesen'!G51</f>
        <v>0</v>
      </c>
      <c r="H50" s="6">
        <f>+'1.b sz. Önkormányzat 2022.'!DO50+'2.10. sz. Intézmények összesen'!H51</f>
        <v>0</v>
      </c>
      <c r="I50" s="6"/>
      <c r="J50" s="6">
        <f>+'1.b sz. Önkormányzat 2022.'!DQ50+'2.10. sz. Intézmények összesen'!J51</f>
        <v>0</v>
      </c>
      <c r="K50" s="6">
        <f>+'1.b sz. Önkormányzat 2022.'!DR50+'2.10. sz. Intézmények összesen'!K51</f>
        <v>0</v>
      </c>
      <c r="L50" s="6"/>
      <c r="M50" s="6">
        <f t="shared" si="1"/>
        <v>940000000</v>
      </c>
      <c r="N50" s="6">
        <f t="shared" si="2"/>
        <v>905879500</v>
      </c>
      <c r="O50" s="6"/>
      <c r="P50" s="6">
        <f>+'1.a sz. Önkormányzat 2022. '!LF50</f>
        <v>0</v>
      </c>
      <c r="Q50" s="6">
        <f>+'1.a sz. Önkormányzat 2022. '!LG50</f>
        <v>0</v>
      </c>
      <c r="R50" s="6">
        <f>+'1.a sz. Önkormányzat 2022. '!LH50</f>
        <v>0</v>
      </c>
      <c r="S50" s="12">
        <f>+Q50-M50</f>
        <v>-940000000</v>
      </c>
    </row>
    <row r="51" spans="1:21" x14ac:dyDescent="0.25">
      <c r="D51" s="12"/>
      <c r="E51" s="12"/>
      <c r="F51" s="12"/>
      <c r="G51" s="12"/>
      <c r="H51" s="12"/>
      <c r="I51" s="12"/>
      <c r="J51" s="12"/>
      <c r="K51" s="12"/>
      <c r="L51" s="12"/>
      <c r="M51" s="12"/>
      <c r="N51" s="12"/>
      <c r="O51" s="12"/>
      <c r="P51" s="12"/>
    </row>
    <row r="52" spans="1:21" x14ac:dyDescent="0.25">
      <c r="D52" s="12"/>
      <c r="E52" s="12"/>
      <c r="F52" s="12"/>
      <c r="G52" s="12"/>
      <c r="H52" s="12"/>
      <c r="I52" s="12"/>
      <c r="J52" s="12"/>
      <c r="K52" s="12"/>
      <c r="L52" s="12"/>
      <c r="M52" s="12"/>
      <c r="N52" s="12"/>
      <c r="O52" s="12"/>
      <c r="P52" s="12"/>
    </row>
    <row r="53" spans="1:21" ht="18.75" x14ac:dyDescent="0.3">
      <c r="M53" s="12"/>
      <c r="N53" s="12"/>
      <c r="O53" s="12"/>
      <c r="P53" s="294">
        <f>+M48-M29</f>
        <v>0</v>
      </c>
      <c r="Q53" s="294">
        <f>+N48-N29</f>
        <v>0</v>
      </c>
      <c r="R53" s="294"/>
      <c r="S53" s="12">
        <f>+M48-M29</f>
        <v>0</v>
      </c>
      <c r="T53" s="36" t="s">
        <v>594</v>
      </c>
      <c r="U53" s="291" t="e">
        <f>'5.sz.Műk.c.pe.átadás'!N132+#REF!+'8.sz.Tartalékok'!E74</f>
        <v>#REF!</v>
      </c>
    </row>
    <row r="55" spans="1:21" x14ac:dyDescent="0.25">
      <c r="J55" s="12"/>
      <c r="K55" s="12"/>
      <c r="L55" s="12"/>
      <c r="M55" s="12"/>
      <c r="N55" s="12"/>
      <c r="O55" s="12"/>
      <c r="P55" s="12">
        <f>+P53+P54</f>
        <v>0</v>
      </c>
    </row>
    <row r="56" spans="1:21" x14ac:dyDescent="0.25">
      <c r="M56" s="12" t="s">
        <v>649</v>
      </c>
      <c r="N56" s="12"/>
      <c r="O56" s="12"/>
      <c r="P56" s="12" t="s">
        <v>650</v>
      </c>
      <c r="S56" s="4" t="s">
        <v>2195</v>
      </c>
    </row>
    <row r="57" spans="1:21" x14ac:dyDescent="0.25">
      <c r="J57" s="4" t="s">
        <v>651</v>
      </c>
      <c r="M57" s="12">
        <f>+M8+M9+M11+M10+M12</f>
        <v>8502997555</v>
      </c>
      <c r="N57" s="12">
        <f t="shared" ref="N57:O57" si="5">+N8+N9+N11+N10+N12</f>
        <v>10608686852</v>
      </c>
      <c r="O57" s="12">
        <f t="shared" si="5"/>
        <v>7499167698</v>
      </c>
      <c r="P57" s="12">
        <f>+M16+M17+M18</f>
        <v>2085504817</v>
      </c>
      <c r="Q57" s="12">
        <f t="shared" ref="Q57:R57" si="6">+N16+N17+N18</f>
        <v>2266472764</v>
      </c>
      <c r="R57" s="12">
        <f t="shared" si="6"/>
        <v>1173886351</v>
      </c>
      <c r="S57" s="12">
        <f>+M21</f>
        <v>3667488103</v>
      </c>
      <c r="T57" s="12">
        <f t="shared" ref="T57:U57" si="7">+N21</f>
        <v>4171512868</v>
      </c>
      <c r="U57" s="12">
        <f t="shared" si="7"/>
        <v>31809524875</v>
      </c>
    </row>
    <row r="58" spans="1:21" x14ac:dyDescent="0.25">
      <c r="J58" s="4" t="s">
        <v>652</v>
      </c>
      <c r="M58" s="12">
        <f>+M30+M32+M33+M35</f>
        <v>6433200895</v>
      </c>
      <c r="N58" s="12">
        <f t="shared" ref="N58:O58" si="8">+N30+N32+N33+N35</f>
        <v>8299119571</v>
      </c>
      <c r="O58" s="12">
        <f t="shared" si="8"/>
        <v>8192583896</v>
      </c>
      <c r="P58" s="12">
        <f>+M31+M34+M36</f>
        <v>726666403</v>
      </c>
      <c r="Q58" s="12">
        <f t="shared" ref="Q58:R58" si="9">+N31+N34+N36</f>
        <v>805775556</v>
      </c>
      <c r="R58" s="12">
        <f t="shared" si="9"/>
        <v>805642256</v>
      </c>
      <c r="S58" s="12">
        <f>+M38</f>
        <v>7096123177</v>
      </c>
      <c r="T58" s="12">
        <f t="shared" ref="T58:U58" si="10">+N38</f>
        <v>7941777357</v>
      </c>
      <c r="U58" s="12">
        <f t="shared" si="10"/>
        <v>35579789364</v>
      </c>
    </row>
    <row r="59" spans="1:21" x14ac:dyDescent="0.25">
      <c r="M59" s="12"/>
      <c r="N59" s="12"/>
      <c r="O59" s="12"/>
    </row>
    <row r="60" spans="1:21" x14ac:dyDescent="0.25">
      <c r="J60" s="4" t="s">
        <v>1045</v>
      </c>
      <c r="M60" s="12">
        <f>+M37-M20</f>
        <v>-3428635074</v>
      </c>
      <c r="N60" s="12"/>
      <c r="O60" s="12"/>
      <c r="T60" s="12">
        <f>+M30+M32+M33+M35</f>
        <v>6433200895</v>
      </c>
    </row>
    <row r="61" spans="1:21" x14ac:dyDescent="0.25">
      <c r="T61" s="12">
        <f>+M31+M34+M36</f>
        <v>726666403</v>
      </c>
    </row>
    <row r="62" spans="1:21" x14ac:dyDescent="0.25">
      <c r="M62" s="12">
        <f>+M40+M41-M22-M25</f>
        <v>3428635074</v>
      </c>
      <c r="N62" s="12"/>
      <c r="O62" s="12"/>
      <c r="P62" s="12">
        <f>+M62-M60</f>
        <v>6857270148</v>
      </c>
    </row>
    <row r="64" spans="1:21" x14ac:dyDescent="0.25">
      <c r="M64" s="12">
        <f>+M48-M29</f>
        <v>0</v>
      </c>
      <c r="N64" s="12"/>
      <c r="O64" s="12"/>
    </row>
    <row r="66" spans="6:16" x14ac:dyDescent="0.25">
      <c r="J66" s="4" t="s">
        <v>1043</v>
      </c>
      <c r="M66" s="12">
        <f>+M42+M43</f>
        <v>3575792043</v>
      </c>
      <c r="N66" s="12"/>
      <c r="O66" s="12"/>
    </row>
    <row r="67" spans="6:16" x14ac:dyDescent="0.25">
      <c r="J67" s="4" t="s">
        <v>1044</v>
      </c>
      <c r="M67" s="12">
        <f>+M40+M41</f>
        <v>3520331134</v>
      </c>
      <c r="N67" s="12">
        <f>+N40+N41</f>
        <v>3789924031</v>
      </c>
      <c r="O67" s="12"/>
      <c r="P67" s="12"/>
    </row>
    <row r="72" spans="6:16" x14ac:dyDescent="0.25">
      <c r="F72" s="12">
        <f>+F20-F18-F17-F16-F12-F11-F10-F9-F8</f>
        <v>0</v>
      </c>
      <c r="G72" s="12">
        <f t="shared" ref="G72:O72" si="11">+G20-G18-G17-G16-G12-G11-G10-G9-G8</f>
        <v>0</v>
      </c>
      <c r="H72" s="12">
        <f t="shared" si="11"/>
        <v>0</v>
      </c>
      <c r="I72" s="12">
        <f t="shared" si="11"/>
        <v>0</v>
      </c>
      <c r="J72" s="12">
        <f t="shared" si="11"/>
        <v>0</v>
      </c>
      <c r="K72" s="12">
        <f t="shared" si="11"/>
        <v>0</v>
      </c>
      <c r="L72" s="12">
        <f t="shared" si="11"/>
        <v>0</v>
      </c>
      <c r="M72" s="12">
        <f t="shared" si="11"/>
        <v>0</v>
      </c>
      <c r="N72" s="12">
        <f t="shared" si="11"/>
        <v>0</v>
      </c>
      <c r="O72" s="12">
        <f t="shared" si="11"/>
        <v>0</v>
      </c>
    </row>
  </sheetData>
  <mergeCells count="13">
    <mergeCell ref="A2:C2"/>
    <mergeCell ref="A3:A6"/>
    <mergeCell ref="B3:C3"/>
    <mergeCell ref="B4:C4"/>
    <mergeCell ref="B5:C5"/>
    <mergeCell ref="D2:I2"/>
    <mergeCell ref="J2:O2"/>
    <mergeCell ref="P2:R2"/>
    <mergeCell ref="D4:F6"/>
    <mergeCell ref="G4:I6"/>
    <mergeCell ref="J4:L6"/>
    <mergeCell ref="M4:O6"/>
    <mergeCell ref="P4:R6"/>
  </mergeCells>
  <phoneticPr fontId="44" type="noConversion"/>
  <printOptions horizontalCentered="1" verticalCentered="1"/>
  <pageMargins left="0.19685039370078741" right="0.19685039370078741" top="0.39370078740157483" bottom="0.39370078740157483" header="0.51181102362204722" footer="0.51181102362204722"/>
  <pageSetup paperSize="9" scale="48" fitToHeight="0" orientation="portrait" r:id="rId1"/>
  <headerFooter alignWithMargins="0">
    <oddHeader>&amp;C2022. évi zárszámadás&amp;R&amp;A</oddHeader>
    <oddFooter>&amp;C&amp;P/&amp;N</oddFooter>
  </headerFooter>
  <colBreaks count="2" manualBreakCount="2">
    <brk id="9" max="49" man="1"/>
    <brk id="15" max="4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sheetPr>
  <dimension ref="A1:AX32"/>
  <sheetViews>
    <sheetView view="pageBreakPreview" topLeftCell="A4" zoomScale="80" zoomScaleNormal="70" zoomScaleSheetLayoutView="80" workbookViewId="0">
      <selection activeCell="D19" sqref="D19"/>
    </sheetView>
  </sheetViews>
  <sheetFormatPr defaultColWidth="9.140625" defaultRowHeight="12.75" x14ac:dyDescent="0.2"/>
  <cols>
    <col min="1" max="1" width="3.7109375" style="18" customWidth="1"/>
    <col min="2" max="2" width="4" style="18" customWidth="1"/>
    <col min="3" max="3" width="5" style="18" customWidth="1"/>
    <col min="4" max="4" width="45.7109375" style="18" customWidth="1"/>
    <col min="5" max="6" width="15.7109375" style="18" customWidth="1"/>
    <col min="7" max="7" width="15" style="18" customWidth="1"/>
    <col min="8" max="9" width="15.7109375" style="18" customWidth="1"/>
    <col min="10" max="10" width="15.140625" style="18" customWidth="1"/>
    <col min="11" max="11" width="15" style="18" customWidth="1"/>
    <col min="12" max="12" width="15.7109375" style="18" customWidth="1"/>
    <col min="13" max="13" width="15.140625" style="18" customWidth="1"/>
    <col min="14" max="14" width="16.85546875" style="18" customWidth="1"/>
    <col min="15" max="16" width="15.5703125" style="18" customWidth="1"/>
    <col min="17" max="17" width="15.85546875" style="18" customWidth="1"/>
    <col min="18" max="18" width="16" style="18" customWidth="1"/>
    <col min="19" max="25" width="14.7109375" style="18" customWidth="1"/>
    <col min="26" max="26" width="17.140625" style="18" customWidth="1"/>
    <col min="27" max="31" width="16" style="18" customWidth="1"/>
    <col min="32" max="32" width="16.85546875" style="18" customWidth="1"/>
    <col min="33" max="33" width="17.5703125" style="18" customWidth="1"/>
    <col min="34" max="34" width="16.42578125" style="18" customWidth="1"/>
    <col min="35" max="35" width="15.28515625" style="18" customWidth="1"/>
    <col min="36" max="37" width="15.140625" style="18" customWidth="1"/>
    <col min="38" max="16384" width="9.140625" style="18"/>
  </cols>
  <sheetData>
    <row r="1" spans="1:50" ht="37.5" customHeight="1" x14ac:dyDescent="0.2">
      <c r="E1" s="1133" t="s">
        <v>67</v>
      </c>
      <c r="F1" s="1133"/>
      <c r="G1" s="1133"/>
      <c r="H1" s="1133"/>
      <c r="I1" s="1133"/>
      <c r="J1" s="1133"/>
      <c r="K1" s="1133"/>
      <c r="L1" s="1133"/>
      <c r="M1" s="1133"/>
      <c r="N1" s="1133"/>
      <c r="O1" s="1133"/>
      <c r="P1" s="1133"/>
      <c r="Q1" s="1133" t="s">
        <v>67</v>
      </c>
      <c r="R1" s="1133"/>
      <c r="S1" s="1133"/>
      <c r="T1" s="1133"/>
      <c r="U1" s="1133"/>
      <c r="V1" s="1133"/>
      <c r="W1" s="1133"/>
      <c r="X1" s="1133"/>
      <c r="Y1" s="1133"/>
      <c r="Z1" s="1133"/>
      <c r="AA1" s="1133"/>
      <c r="AB1" s="1133"/>
      <c r="AC1" s="1133"/>
      <c r="AD1" s="1133"/>
      <c r="AE1" s="1133"/>
      <c r="AF1" s="1133"/>
      <c r="AG1" s="1133"/>
      <c r="AH1" s="1133"/>
      <c r="AI1" s="1133"/>
      <c r="AJ1" s="1133"/>
      <c r="AK1" s="1133"/>
      <c r="AL1" s="727"/>
      <c r="AM1" s="727"/>
      <c r="AN1" s="727"/>
      <c r="AO1" s="727"/>
      <c r="AP1" s="727"/>
      <c r="AQ1" s="727"/>
      <c r="AR1" s="727"/>
      <c r="AS1" s="727"/>
      <c r="AT1" s="727"/>
      <c r="AU1" s="727"/>
      <c r="AV1" s="727"/>
      <c r="AW1" s="727"/>
      <c r="AX1" s="727"/>
    </row>
    <row r="2" spans="1:50" ht="18.75" customHeight="1" x14ac:dyDescent="0.25">
      <c r="A2" s="355"/>
      <c r="B2" s="355"/>
      <c r="C2" s="355"/>
      <c r="D2" s="355"/>
      <c r="E2" s="355"/>
      <c r="F2" s="355"/>
      <c r="G2" s="355"/>
      <c r="H2" s="355"/>
      <c r="I2" s="355"/>
      <c r="J2" s="355"/>
      <c r="K2" s="355"/>
      <c r="L2" s="355"/>
      <c r="M2" s="355"/>
      <c r="N2" s="355"/>
      <c r="O2" s="355"/>
      <c r="P2" s="4" t="s">
        <v>415</v>
      </c>
      <c r="Q2" s="355"/>
      <c r="S2" s="4"/>
      <c r="T2" s="4"/>
      <c r="U2" s="4"/>
      <c r="V2" s="4"/>
      <c r="W2" s="4"/>
      <c r="X2" s="4"/>
      <c r="Y2" s="4"/>
      <c r="Z2" s="4"/>
      <c r="AA2" s="355"/>
      <c r="AB2" s="355"/>
      <c r="AC2" s="355"/>
      <c r="AD2" s="355"/>
      <c r="AE2" s="355"/>
      <c r="AF2" s="355"/>
      <c r="AG2" s="355"/>
      <c r="AH2" s="355"/>
      <c r="AI2" s="355"/>
      <c r="AK2" s="544" t="s">
        <v>415</v>
      </c>
    </row>
    <row r="3" spans="1:50" ht="42" customHeight="1" x14ac:dyDescent="0.2">
      <c r="A3" s="1131" t="s">
        <v>53</v>
      </c>
      <c r="B3" s="1131" t="s">
        <v>647</v>
      </c>
      <c r="C3" s="1131" t="s">
        <v>55</v>
      </c>
      <c r="D3" s="1129" t="s">
        <v>2</v>
      </c>
      <c r="E3" s="384" t="s">
        <v>274</v>
      </c>
      <c r="F3" s="521" t="s">
        <v>1074</v>
      </c>
      <c r="G3" s="522" t="s">
        <v>1546</v>
      </c>
      <c r="H3" s="384" t="s">
        <v>274</v>
      </c>
      <c r="I3" s="521" t="s">
        <v>1074</v>
      </c>
      <c r="J3" s="522" t="s">
        <v>1546</v>
      </c>
      <c r="K3" s="384" t="s">
        <v>274</v>
      </c>
      <c r="L3" s="521" t="s">
        <v>1074</v>
      </c>
      <c r="M3" s="522" t="s">
        <v>1546</v>
      </c>
      <c r="N3" s="384" t="s">
        <v>274</v>
      </c>
      <c r="O3" s="521" t="s">
        <v>1074</v>
      </c>
      <c r="P3" s="522" t="s">
        <v>1546</v>
      </c>
      <c r="Q3" s="390" t="s">
        <v>274</v>
      </c>
      <c r="R3" s="521" t="s">
        <v>1074</v>
      </c>
      <c r="S3" s="522" t="s">
        <v>1546</v>
      </c>
      <c r="T3" s="390" t="s">
        <v>274</v>
      </c>
      <c r="U3" s="521" t="s">
        <v>1074</v>
      </c>
      <c r="V3" s="522" t="s">
        <v>1546</v>
      </c>
      <c r="W3" s="390" t="s">
        <v>274</v>
      </c>
      <c r="X3" s="521" t="s">
        <v>1074</v>
      </c>
      <c r="Y3" s="522" t="s">
        <v>1546</v>
      </c>
      <c r="Z3" s="384" t="s">
        <v>274</v>
      </c>
      <c r="AA3" s="521" t="s">
        <v>1074</v>
      </c>
      <c r="AB3" s="522" t="s">
        <v>1546</v>
      </c>
      <c r="AC3" s="384" t="s">
        <v>274</v>
      </c>
      <c r="AD3" s="521" t="s">
        <v>1074</v>
      </c>
      <c r="AE3" s="522" t="s">
        <v>1546</v>
      </c>
      <c r="AF3" s="384" t="s">
        <v>274</v>
      </c>
      <c r="AG3" s="521" t="s">
        <v>1074</v>
      </c>
      <c r="AH3" s="522" t="s">
        <v>1546</v>
      </c>
      <c r="AI3" s="384" t="s">
        <v>274</v>
      </c>
      <c r="AJ3" s="521" t="s">
        <v>1074</v>
      </c>
      <c r="AK3" s="522" t="s">
        <v>1546</v>
      </c>
    </row>
    <row r="4" spans="1:50" ht="120" customHeight="1" x14ac:dyDescent="0.2">
      <c r="A4" s="1132"/>
      <c r="B4" s="1132"/>
      <c r="C4" s="1132"/>
      <c r="D4" s="1130"/>
      <c r="E4" s="1121" t="s">
        <v>2047</v>
      </c>
      <c r="F4" s="1122"/>
      <c r="G4" s="1123"/>
      <c r="H4" s="1121" t="s">
        <v>2048</v>
      </c>
      <c r="I4" s="1122" t="s">
        <v>986</v>
      </c>
      <c r="J4" s="1123"/>
      <c r="K4" s="1121" t="s">
        <v>2066</v>
      </c>
      <c r="L4" s="1122"/>
      <c r="M4" s="1123"/>
      <c r="N4" s="1121" t="s">
        <v>2049</v>
      </c>
      <c r="O4" s="1122" t="s">
        <v>510</v>
      </c>
      <c r="P4" s="1123"/>
      <c r="Q4" s="1122" t="s">
        <v>2050</v>
      </c>
      <c r="R4" s="1122" t="s">
        <v>359</v>
      </c>
      <c r="S4" s="1123"/>
      <c r="T4" s="1121" t="s">
        <v>1587</v>
      </c>
      <c r="U4" s="1122" t="s">
        <v>575</v>
      </c>
      <c r="V4" s="1123"/>
      <c r="W4" s="1121" t="s">
        <v>254</v>
      </c>
      <c r="X4" s="1122" t="s">
        <v>254</v>
      </c>
      <c r="Y4" s="1123"/>
      <c r="Z4" s="1121" t="s">
        <v>2051</v>
      </c>
      <c r="AA4" s="1122" t="s">
        <v>804</v>
      </c>
      <c r="AB4" s="1123"/>
      <c r="AC4" s="1121" t="s">
        <v>2052</v>
      </c>
      <c r="AD4" s="1122" t="s">
        <v>1315</v>
      </c>
      <c r="AE4" s="1123"/>
      <c r="AF4" s="1121" t="s">
        <v>59</v>
      </c>
      <c r="AG4" s="1122" t="s">
        <v>59</v>
      </c>
      <c r="AH4" s="1123"/>
      <c r="AI4" s="1121" t="s">
        <v>115</v>
      </c>
      <c r="AJ4" s="1122" t="s">
        <v>115</v>
      </c>
      <c r="AK4" s="1123"/>
    </row>
    <row r="5" spans="1:50" s="38" customFormat="1" ht="22.5" customHeight="1" x14ac:dyDescent="0.2">
      <c r="A5" s="1126" t="s">
        <v>58</v>
      </c>
      <c r="B5" s="1127"/>
      <c r="C5" s="1127"/>
      <c r="D5" s="1127"/>
      <c r="E5" s="61">
        <f>SUM(E6:E20)</f>
        <v>6000000</v>
      </c>
      <c r="F5" s="61">
        <f t="shared" ref="F5:AH5" si="0">SUM(F6:F20)</f>
        <v>4852690</v>
      </c>
      <c r="G5" s="61">
        <f t="shared" si="0"/>
        <v>4533200</v>
      </c>
      <c r="H5" s="61">
        <f t="shared" si="0"/>
        <v>2500000</v>
      </c>
      <c r="I5" s="61">
        <f t="shared" si="0"/>
        <v>2570000</v>
      </c>
      <c r="J5" s="61">
        <f t="shared" si="0"/>
        <v>1570000</v>
      </c>
      <c r="K5" s="61">
        <f t="shared" si="0"/>
        <v>0</v>
      </c>
      <c r="L5" s="61">
        <f>SUM(L6:L20)</f>
        <v>1811551</v>
      </c>
      <c r="M5" s="61">
        <f t="shared" si="0"/>
        <v>1811551</v>
      </c>
      <c r="N5" s="61">
        <f t="shared" si="0"/>
        <v>4000000</v>
      </c>
      <c r="O5" s="61">
        <f t="shared" si="0"/>
        <v>4000000</v>
      </c>
      <c r="P5" s="61">
        <f t="shared" si="0"/>
        <v>0</v>
      </c>
      <c r="Q5" s="61">
        <f t="shared" si="0"/>
        <v>1320000</v>
      </c>
      <c r="R5" s="61">
        <f t="shared" si="0"/>
        <v>1320000</v>
      </c>
      <c r="S5" s="61">
        <f t="shared" si="0"/>
        <v>1320000</v>
      </c>
      <c r="T5" s="61">
        <f t="shared" si="0"/>
        <v>0</v>
      </c>
      <c r="U5" s="61">
        <f t="shared" si="0"/>
        <v>1554735</v>
      </c>
      <c r="V5" s="61">
        <f t="shared" si="0"/>
        <v>1554735</v>
      </c>
      <c r="W5" s="61">
        <f t="shared" si="0"/>
        <v>0</v>
      </c>
      <c r="X5" s="61">
        <f t="shared" si="0"/>
        <v>1636291</v>
      </c>
      <c r="Y5" s="61">
        <f t="shared" si="0"/>
        <v>1636291</v>
      </c>
      <c r="Z5" s="61">
        <f t="shared" si="0"/>
        <v>0</v>
      </c>
      <c r="AA5" s="61">
        <f t="shared" si="0"/>
        <v>65994</v>
      </c>
      <c r="AB5" s="61">
        <f t="shared" si="0"/>
        <v>65994</v>
      </c>
      <c r="AC5" s="61">
        <f t="shared" si="0"/>
        <v>0</v>
      </c>
      <c r="AD5" s="61">
        <f>SUM(AD6:AD21)</f>
        <v>960000</v>
      </c>
      <c r="AE5" s="61">
        <f>SUM(AE6:AE21)</f>
        <v>960000</v>
      </c>
      <c r="AF5" s="61">
        <f t="shared" si="0"/>
        <v>0</v>
      </c>
      <c r="AG5" s="61">
        <f t="shared" si="0"/>
        <v>0</v>
      </c>
      <c r="AH5" s="61">
        <f t="shared" si="0"/>
        <v>0</v>
      </c>
      <c r="AI5" s="92">
        <f>+E5+H5+N5+Q5+Z5+AF5+AC5+K5+T5+W5</f>
        <v>13820000</v>
      </c>
      <c r="AJ5" s="92">
        <f>+F5+I5+O5+R5+AA5+AG5+AD5+L5+U5+X5</f>
        <v>18771261</v>
      </c>
      <c r="AK5" s="92">
        <f>+G5+J5+P5+S5+AB5+AH5+AE5+M5+V5+Y5</f>
        <v>13451771</v>
      </c>
    </row>
    <row r="6" spans="1:50" s="230" customFormat="1" ht="22.5" customHeight="1" x14ac:dyDescent="0.2">
      <c r="A6" s="53" t="s">
        <v>191</v>
      </c>
      <c r="B6" s="147">
        <v>301</v>
      </c>
      <c r="C6" s="74" t="s">
        <v>1543</v>
      </c>
      <c r="D6" s="283" t="s">
        <v>56</v>
      </c>
      <c r="E6" s="651">
        <v>4000000</v>
      </c>
      <c r="F6" s="651">
        <v>1161940</v>
      </c>
      <c r="G6" s="651">
        <v>1033200</v>
      </c>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743"/>
      <c r="AI6" s="92">
        <f t="shared" ref="AI6:AI22" si="1">+E6+H6+N6+Q6+Z6+AF6+AC6+K6+T6+W6</f>
        <v>4000000</v>
      </c>
      <c r="AJ6" s="92">
        <f t="shared" ref="AJ6:AJ22" si="2">+F6+I6+O6+R6+AA6+AG6+AD6+L6+U6+X6</f>
        <v>1161940</v>
      </c>
      <c r="AK6" s="92">
        <f t="shared" ref="AK6:AK22" si="3">+G6+J6+P6+S6+AB6+AH6+AE6+M6+V6+Y6</f>
        <v>1033200</v>
      </c>
    </row>
    <row r="7" spans="1:50" ht="31.5" customHeight="1" x14ac:dyDescent="0.2">
      <c r="A7" s="54" t="s">
        <v>192</v>
      </c>
      <c r="B7" s="132">
        <v>302</v>
      </c>
      <c r="C7" s="72" t="s">
        <v>1543</v>
      </c>
      <c r="D7" s="388" t="s">
        <v>57</v>
      </c>
      <c r="E7" s="652"/>
      <c r="F7" s="652"/>
      <c r="G7" s="652"/>
      <c r="H7" s="652"/>
      <c r="I7" s="652"/>
      <c r="J7" s="652"/>
      <c r="K7" s="652"/>
      <c r="L7" s="652"/>
      <c r="M7" s="652"/>
      <c r="N7" s="652">
        <v>4000000</v>
      </c>
      <c r="O7" s="652">
        <v>4000000</v>
      </c>
      <c r="P7" s="652"/>
      <c r="Q7" s="652"/>
      <c r="R7" s="652"/>
      <c r="S7" s="652"/>
      <c r="T7" s="652"/>
      <c r="U7" s="652"/>
      <c r="V7" s="652"/>
      <c r="W7" s="652"/>
      <c r="X7" s="652"/>
      <c r="Y7" s="652"/>
      <c r="Z7" s="652"/>
      <c r="AA7" s="652"/>
      <c r="AB7" s="652"/>
      <c r="AC7" s="652"/>
      <c r="AD7" s="652"/>
      <c r="AE7" s="652"/>
      <c r="AF7" s="652"/>
      <c r="AG7" s="652"/>
      <c r="AH7" s="744"/>
      <c r="AI7" s="92">
        <f t="shared" si="1"/>
        <v>4000000</v>
      </c>
      <c r="AJ7" s="92">
        <f t="shared" si="2"/>
        <v>4000000</v>
      </c>
      <c r="AK7" s="92">
        <f t="shared" si="3"/>
        <v>0</v>
      </c>
    </row>
    <row r="8" spans="1:50" ht="30" customHeight="1" x14ac:dyDescent="0.2">
      <c r="A8" s="54" t="s">
        <v>193</v>
      </c>
      <c r="B8" s="132">
        <v>301</v>
      </c>
      <c r="C8" s="72" t="s">
        <v>1544</v>
      </c>
      <c r="D8" s="387" t="s">
        <v>153</v>
      </c>
      <c r="E8" s="652"/>
      <c r="F8" s="652"/>
      <c r="G8" s="652"/>
      <c r="H8" s="652">
        <v>1000000</v>
      </c>
      <c r="I8" s="652">
        <f>1000000-1000000</f>
        <v>0</v>
      </c>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744"/>
      <c r="AI8" s="92">
        <f t="shared" si="1"/>
        <v>1000000</v>
      </c>
      <c r="AJ8" s="92">
        <f t="shared" si="2"/>
        <v>0</v>
      </c>
      <c r="AK8" s="92">
        <f t="shared" si="3"/>
        <v>0</v>
      </c>
    </row>
    <row r="9" spans="1:50" ht="30" customHeight="1" x14ac:dyDescent="0.2">
      <c r="A9" s="54" t="s">
        <v>194</v>
      </c>
      <c r="B9" s="132">
        <v>303</v>
      </c>
      <c r="C9" s="72" t="s">
        <v>1543</v>
      </c>
      <c r="D9" s="388" t="s">
        <v>1228</v>
      </c>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744"/>
      <c r="AI9" s="92">
        <f t="shared" si="1"/>
        <v>0</v>
      </c>
      <c r="AJ9" s="92">
        <f t="shared" si="2"/>
        <v>0</v>
      </c>
      <c r="AK9" s="92">
        <f t="shared" si="3"/>
        <v>0</v>
      </c>
    </row>
    <row r="10" spans="1:50" ht="31.5" customHeight="1" x14ac:dyDescent="0.2">
      <c r="A10" s="54" t="s">
        <v>195</v>
      </c>
      <c r="B10" s="132" t="s">
        <v>65</v>
      </c>
      <c r="C10" s="72" t="s">
        <v>1545</v>
      </c>
      <c r="D10" s="388" t="s">
        <v>730</v>
      </c>
      <c r="E10" s="652">
        <v>2000000</v>
      </c>
      <c r="F10" s="652">
        <f>2000000+599400+235100+700000+156250</f>
        <v>3690750</v>
      </c>
      <c r="G10" s="652">
        <v>3500000</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744"/>
      <c r="AI10" s="92">
        <f t="shared" si="1"/>
        <v>2000000</v>
      </c>
      <c r="AJ10" s="92">
        <f t="shared" si="2"/>
        <v>3690750</v>
      </c>
      <c r="AK10" s="92">
        <f t="shared" si="3"/>
        <v>3500000</v>
      </c>
    </row>
    <row r="11" spans="1:50" ht="32.25" customHeight="1" x14ac:dyDescent="0.2">
      <c r="A11" s="54" t="s">
        <v>196</v>
      </c>
      <c r="B11" s="132">
        <v>307</v>
      </c>
      <c r="C11" s="72" t="s">
        <v>1543</v>
      </c>
      <c r="D11" s="388" t="s">
        <v>688</v>
      </c>
      <c r="E11" s="652"/>
      <c r="F11" s="652"/>
      <c r="G11" s="652"/>
      <c r="H11" s="652"/>
      <c r="I11" s="652"/>
      <c r="J11" s="652"/>
      <c r="K11" s="652"/>
      <c r="L11" s="652"/>
      <c r="M11" s="652"/>
      <c r="N11" s="652"/>
      <c r="O11" s="652"/>
      <c r="P11" s="652"/>
      <c r="Q11" s="652">
        <v>1320000</v>
      </c>
      <c r="R11" s="652">
        <v>1320000</v>
      </c>
      <c r="S11" s="652">
        <v>1320000</v>
      </c>
      <c r="T11" s="652"/>
      <c r="U11" s="652"/>
      <c r="V11" s="652"/>
      <c r="W11" s="652"/>
      <c r="X11" s="652"/>
      <c r="Y11" s="652"/>
      <c r="Z11" s="652"/>
      <c r="AA11" s="652"/>
      <c r="AB11" s="652"/>
      <c r="AC11" s="652"/>
      <c r="AD11" s="652"/>
      <c r="AE11" s="652"/>
      <c r="AF11" s="652"/>
      <c r="AG11" s="652"/>
      <c r="AH11" s="744"/>
      <c r="AI11" s="92">
        <f t="shared" si="1"/>
        <v>1320000</v>
      </c>
      <c r="AJ11" s="92">
        <f t="shared" si="2"/>
        <v>1320000</v>
      </c>
      <c r="AK11" s="92">
        <f t="shared" si="3"/>
        <v>1320000</v>
      </c>
    </row>
    <row r="12" spans="1:50" ht="32.25" customHeight="1" x14ac:dyDescent="0.2">
      <c r="A12" s="54" t="s">
        <v>197</v>
      </c>
      <c r="B12" s="132">
        <v>301</v>
      </c>
      <c r="C12" s="72" t="s">
        <v>1544</v>
      </c>
      <c r="D12" s="388" t="s">
        <v>1032</v>
      </c>
      <c r="E12" s="837"/>
      <c r="F12" s="837"/>
      <c r="G12" s="837"/>
      <c r="H12" s="837">
        <v>1500000</v>
      </c>
      <c r="I12" s="837">
        <f>1500000-1500000</f>
        <v>0</v>
      </c>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9"/>
      <c r="AI12" s="92">
        <f t="shared" si="1"/>
        <v>1500000</v>
      </c>
      <c r="AJ12" s="92">
        <f t="shared" si="2"/>
        <v>0</v>
      </c>
      <c r="AK12" s="92">
        <f t="shared" si="3"/>
        <v>0</v>
      </c>
    </row>
    <row r="13" spans="1:50" ht="32.25" customHeight="1" x14ac:dyDescent="0.2">
      <c r="A13" s="54" t="s">
        <v>198</v>
      </c>
      <c r="B13" s="132">
        <v>317</v>
      </c>
      <c r="C13" s="72" t="s">
        <v>1544</v>
      </c>
      <c r="D13" s="387" t="s">
        <v>153</v>
      </c>
      <c r="E13" s="837"/>
      <c r="F13" s="837"/>
      <c r="G13" s="837"/>
      <c r="H13" s="837"/>
      <c r="I13" s="837">
        <v>1000000</v>
      </c>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9"/>
      <c r="AI13" s="92">
        <f t="shared" si="1"/>
        <v>0</v>
      </c>
      <c r="AJ13" s="92">
        <f t="shared" si="2"/>
        <v>1000000</v>
      </c>
      <c r="AK13" s="92">
        <f t="shared" si="3"/>
        <v>0</v>
      </c>
    </row>
    <row r="14" spans="1:50" ht="32.25" customHeight="1" x14ac:dyDescent="0.2">
      <c r="A14" s="54" t="s">
        <v>199</v>
      </c>
      <c r="B14" s="132">
        <v>317</v>
      </c>
      <c r="C14" s="72" t="s">
        <v>1544</v>
      </c>
      <c r="D14" s="388" t="s">
        <v>1032</v>
      </c>
      <c r="E14" s="837"/>
      <c r="F14" s="837"/>
      <c r="G14" s="837"/>
      <c r="H14" s="837"/>
      <c r="I14" s="837">
        <v>1500000</v>
      </c>
      <c r="J14" s="837">
        <v>1500000</v>
      </c>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9"/>
      <c r="AI14" s="92">
        <f t="shared" si="1"/>
        <v>0</v>
      </c>
      <c r="AJ14" s="92">
        <f t="shared" si="2"/>
        <v>1500000</v>
      </c>
      <c r="AK14" s="92">
        <f t="shared" si="3"/>
        <v>1500000</v>
      </c>
    </row>
    <row r="15" spans="1:50" ht="42" customHeight="1" x14ac:dyDescent="0.2">
      <c r="A15" s="54" t="s">
        <v>200</v>
      </c>
      <c r="B15" s="132">
        <v>126</v>
      </c>
      <c r="C15" s="72" t="s">
        <v>1544</v>
      </c>
      <c r="D15" s="388" t="s">
        <v>1035</v>
      </c>
      <c r="E15" s="837"/>
      <c r="F15" s="837"/>
      <c r="G15" s="837"/>
      <c r="H15" s="837"/>
      <c r="I15" s="837"/>
      <c r="J15" s="837"/>
      <c r="K15" s="837"/>
      <c r="L15" s="837">
        <v>1811551</v>
      </c>
      <c r="M15" s="837">
        <v>1811551</v>
      </c>
      <c r="N15" s="837"/>
      <c r="O15" s="837"/>
      <c r="P15" s="837"/>
      <c r="Q15" s="837"/>
      <c r="R15" s="837"/>
      <c r="S15" s="837"/>
      <c r="T15" s="837"/>
      <c r="U15" s="837"/>
      <c r="V15" s="837"/>
      <c r="W15" s="837"/>
      <c r="X15" s="837"/>
      <c r="Y15" s="837"/>
      <c r="Z15" s="837"/>
      <c r="AA15" s="837"/>
      <c r="AB15" s="837"/>
      <c r="AC15" s="837"/>
      <c r="AD15" s="837"/>
      <c r="AE15" s="837">
        <f>+F15+H15+O15+Q15+S15+AC15+AA15+J15</f>
        <v>0</v>
      </c>
      <c r="AF15" s="837"/>
      <c r="AG15" s="837"/>
      <c r="AH15" s="838"/>
      <c r="AI15" s="92">
        <f t="shared" si="1"/>
        <v>0</v>
      </c>
      <c r="AJ15" s="92">
        <f t="shared" si="2"/>
        <v>1811551</v>
      </c>
      <c r="AK15" s="92">
        <f t="shared" si="3"/>
        <v>1811551</v>
      </c>
    </row>
    <row r="16" spans="1:50" ht="34.5" customHeight="1" x14ac:dyDescent="0.2">
      <c r="A16" s="54" t="s">
        <v>201</v>
      </c>
      <c r="B16" s="132">
        <v>306</v>
      </c>
      <c r="C16" s="72" t="s">
        <v>1543</v>
      </c>
      <c r="D16" s="388" t="s">
        <v>2077</v>
      </c>
      <c r="E16" s="837"/>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v>860000</v>
      </c>
      <c r="AE16" s="837">
        <v>860000</v>
      </c>
      <c r="AF16" s="837"/>
      <c r="AG16" s="837"/>
      <c r="AH16" s="838"/>
      <c r="AI16" s="92">
        <f t="shared" si="1"/>
        <v>0</v>
      </c>
      <c r="AJ16" s="92">
        <f t="shared" si="2"/>
        <v>860000</v>
      </c>
      <c r="AK16" s="92">
        <f t="shared" si="3"/>
        <v>860000</v>
      </c>
    </row>
    <row r="17" spans="1:37" ht="45" customHeight="1" x14ac:dyDescent="0.2">
      <c r="A17" s="54" t="s">
        <v>228</v>
      </c>
      <c r="B17" s="831">
        <v>317</v>
      </c>
      <c r="C17" s="145" t="s">
        <v>1544</v>
      </c>
      <c r="D17" s="832" t="s">
        <v>2151</v>
      </c>
      <c r="E17" s="837"/>
      <c r="F17" s="837"/>
      <c r="G17" s="837"/>
      <c r="H17" s="837"/>
      <c r="I17" s="837">
        <v>70000</v>
      </c>
      <c r="J17" s="837">
        <v>70000</v>
      </c>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8"/>
      <c r="AI17" s="92">
        <f t="shared" si="1"/>
        <v>0</v>
      </c>
      <c r="AJ17" s="92">
        <f t="shared" si="2"/>
        <v>70000</v>
      </c>
      <c r="AK17" s="92">
        <f t="shared" si="3"/>
        <v>70000</v>
      </c>
    </row>
    <row r="18" spans="1:37" ht="40.5" customHeight="1" x14ac:dyDescent="0.2">
      <c r="A18" s="54" t="s">
        <v>229</v>
      </c>
      <c r="B18" s="831">
        <v>318</v>
      </c>
      <c r="C18" s="145" t="s">
        <v>1543</v>
      </c>
      <c r="D18" s="832" t="s">
        <v>2152</v>
      </c>
      <c r="E18" s="837"/>
      <c r="F18" s="837"/>
      <c r="G18" s="837"/>
      <c r="H18" s="837"/>
      <c r="I18" s="837"/>
      <c r="J18" s="837"/>
      <c r="K18" s="837"/>
      <c r="L18" s="837"/>
      <c r="M18" s="837"/>
      <c r="N18" s="837"/>
      <c r="O18" s="837"/>
      <c r="P18" s="837"/>
      <c r="Q18" s="837"/>
      <c r="R18" s="837"/>
      <c r="S18" s="837"/>
      <c r="T18" s="837"/>
      <c r="U18" s="837">
        <v>1554735</v>
      </c>
      <c r="V18" s="837">
        <v>1554735</v>
      </c>
      <c r="W18" s="837"/>
      <c r="X18" s="837"/>
      <c r="Y18" s="837"/>
      <c r="Z18" s="837"/>
      <c r="AA18" s="837"/>
      <c r="AB18" s="837"/>
      <c r="AC18" s="837"/>
      <c r="AD18" s="837"/>
      <c r="AE18" s="837"/>
      <c r="AF18" s="837"/>
      <c r="AG18" s="837"/>
      <c r="AH18" s="838"/>
      <c r="AI18" s="92">
        <f t="shared" si="1"/>
        <v>0</v>
      </c>
      <c r="AJ18" s="92">
        <f t="shared" si="2"/>
        <v>1554735</v>
      </c>
      <c r="AK18" s="92">
        <f t="shared" si="3"/>
        <v>1554735</v>
      </c>
    </row>
    <row r="19" spans="1:37" ht="45" customHeight="1" x14ac:dyDescent="0.2">
      <c r="A19" s="54" t="s">
        <v>230</v>
      </c>
      <c r="B19" s="831">
        <v>303</v>
      </c>
      <c r="C19" s="145" t="s">
        <v>1543</v>
      </c>
      <c r="D19" s="832" t="s">
        <v>2153</v>
      </c>
      <c r="E19" s="837"/>
      <c r="F19" s="837"/>
      <c r="G19" s="837"/>
      <c r="H19" s="837"/>
      <c r="I19" s="837"/>
      <c r="J19" s="837"/>
      <c r="K19" s="837"/>
      <c r="L19" s="837"/>
      <c r="M19" s="837"/>
      <c r="N19" s="837"/>
      <c r="O19" s="837"/>
      <c r="P19" s="837"/>
      <c r="Q19" s="837"/>
      <c r="R19" s="837"/>
      <c r="S19" s="837"/>
      <c r="T19" s="837"/>
      <c r="U19" s="837"/>
      <c r="V19" s="837"/>
      <c r="W19" s="837"/>
      <c r="X19" s="837"/>
      <c r="Y19" s="837"/>
      <c r="Z19" s="837"/>
      <c r="AA19" s="837">
        <v>65994</v>
      </c>
      <c r="AB19" s="837">
        <v>65994</v>
      </c>
      <c r="AC19" s="837"/>
      <c r="AD19" s="837"/>
      <c r="AE19" s="837"/>
      <c r="AF19" s="837"/>
      <c r="AG19" s="837"/>
      <c r="AH19" s="838"/>
      <c r="AI19" s="92">
        <f t="shared" si="1"/>
        <v>0</v>
      </c>
      <c r="AJ19" s="92">
        <f t="shared" si="2"/>
        <v>65994</v>
      </c>
      <c r="AK19" s="92">
        <f t="shared" si="3"/>
        <v>65994</v>
      </c>
    </row>
    <row r="20" spans="1:37" ht="38.25" customHeight="1" x14ac:dyDescent="0.2">
      <c r="A20" s="138" t="s">
        <v>231</v>
      </c>
      <c r="B20" s="833">
        <v>305</v>
      </c>
      <c r="C20" s="409" t="s">
        <v>1543</v>
      </c>
      <c r="D20" s="834" t="s">
        <v>987</v>
      </c>
      <c r="E20" s="837"/>
      <c r="F20" s="837"/>
      <c r="G20" s="837"/>
      <c r="H20" s="837"/>
      <c r="I20" s="837"/>
      <c r="J20" s="837"/>
      <c r="K20" s="837"/>
      <c r="L20" s="837"/>
      <c r="M20" s="837"/>
      <c r="N20" s="837"/>
      <c r="O20" s="837"/>
      <c r="P20" s="837"/>
      <c r="Q20" s="837"/>
      <c r="R20" s="837"/>
      <c r="S20" s="837"/>
      <c r="T20" s="837"/>
      <c r="U20" s="837"/>
      <c r="V20" s="837"/>
      <c r="W20" s="837"/>
      <c r="X20" s="837">
        <v>1636291</v>
      </c>
      <c r="Y20" s="837">
        <v>1636291</v>
      </c>
      <c r="Z20" s="837"/>
      <c r="AA20" s="837"/>
      <c r="AB20" s="837"/>
      <c r="AC20" s="837"/>
      <c r="AD20" s="837"/>
      <c r="AE20" s="837"/>
      <c r="AF20" s="837"/>
      <c r="AG20" s="837"/>
      <c r="AH20" s="838"/>
      <c r="AI20" s="92">
        <f t="shared" si="1"/>
        <v>0</v>
      </c>
      <c r="AJ20" s="92">
        <f t="shared" si="2"/>
        <v>1636291</v>
      </c>
      <c r="AK20" s="92">
        <f t="shared" si="3"/>
        <v>1636291</v>
      </c>
    </row>
    <row r="21" spans="1:37" ht="33.75" customHeight="1" x14ac:dyDescent="0.2">
      <c r="A21" s="1119" t="s">
        <v>1265</v>
      </c>
      <c r="B21" s="1120"/>
      <c r="C21" s="1120"/>
      <c r="D21" s="1120"/>
      <c r="E21" s="840"/>
      <c r="F21" s="840"/>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c r="AD21" s="843">
        <f>SUM(AD22)</f>
        <v>100000</v>
      </c>
      <c r="AE21" s="843">
        <f>SUM(AE22)</f>
        <v>100000</v>
      </c>
      <c r="AF21" s="840"/>
      <c r="AG21" s="840"/>
      <c r="AH21" s="841"/>
      <c r="AI21" s="92">
        <f t="shared" si="1"/>
        <v>0</v>
      </c>
      <c r="AJ21" s="92">
        <f t="shared" si="2"/>
        <v>100000</v>
      </c>
      <c r="AK21" s="92">
        <f t="shared" si="3"/>
        <v>100000</v>
      </c>
    </row>
    <row r="22" spans="1:37" ht="29.25" customHeight="1" x14ac:dyDescent="0.2">
      <c r="A22" s="689" t="s">
        <v>191</v>
      </c>
      <c r="B22" s="572">
        <v>306</v>
      </c>
      <c r="C22" s="581" t="s">
        <v>1543</v>
      </c>
      <c r="D22" s="582" t="s">
        <v>1314</v>
      </c>
      <c r="E22" s="842"/>
      <c r="F22" s="842"/>
      <c r="G22" s="842"/>
      <c r="H22" s="332"/>
      <c r="I22" s="332"/>
      <c r="J22" s="332"/>
      <c r="K22" s="332"/>
      <c r="L22" s="332"/>
      <c r="M22" s="332"/>
      <c r="N22" s="332"/>
      <c r="O22" s="332"/>
      <c r="P22" s="332"/>
      <c r="Q22" s="332"/>
      <c r="R22" s="332"/>
      <c r="S22" s="332"/>
      <c r="T22" s="332"/>
      <c r="U22" s="332"/>
      <c r="V22" s="332"/>
      <c r="W22" s="332"/>
      <c r="X22" s="332"/>
      <c r="Y22" s="332"/>
      <c r="Z22" s="332"/>
      <c r="AA22" s="332"/>
      <c r="AB22" s="332"/>
      <c r="AC22" s="332"/>
      <c r="AD22" s="836">
        <v>100000</v>
      </c>
      <c r="AE22" s="836">
        <v>100000</v>
      </c>
      <c r="AF22" s="332"/>
      <c r="AG22" s="332"/>
      <c r="AH22" s="835"/>
      <c r="AI22" s="92">
        <f t="shared" si="1"/>
        <v>0</v>
      </c>
      <c r="AJ22" s="92">
        <f t="shared" si="2"/>
        <v>100000</v>
      </c>
      <c r="AK22" s="92">
        <f t="shared" si="3"/>
        <v>100000</v>
      </c>
    </row>
    <row r="23" spans="1:37" s="38" customFormat="1" ht="20.25" customHeight="1" x14ac:dyDescent="0.2">
      <c r="A23" s="1126" t="s">
        <v>60</v>
      </c>
      <c r="B23" s="1127"/>
      <c r="C23" s="1127"/>
      <c r="D23" s="1127"/>
      <c r="E23" s="61">
        <f>SUM(E25)</f>
        <v>0</v>
      </c>
      <c r="F23" s="61">
        <f t="shared" ref="F23:AH23" si="4">SUM(F25)</f>
        <v>0</v>
      </c>
      <c r="G23" s="61">
        <f t="shared" si="4"/>
        <v>0</v>
      </c>
      <c r="H23" s="61">
        <f t="shared" si="4"/>
        <v>0</v>
      </c>
      <c r="I23" s="61">
        <f t="shared" si="4"/>
        <v>0</v>
      </c>
      <c r="J23" s="61">
        <f t="shared" si="4"/>
        <v>0</v>
      </c>
      <c r="K23" s="61">
        <f t="shared" si="4"/>
        <v>0</v>
      </c>
      <c r="L23" s="61">
        <f t="shared" si="4"/>
        <v>0</v>
      </c>
      <c r="M23" s="61">
        <f t="shared" si="4"/>
        <v>0</v>
      </c>
      <c r="N23" s="61">
        <f t="shared" si="4"/>
        <v>0</v>
      </c>
      <c r="O23" s="61">
        <f t="shared" si="4"/>
        <v>0</v>
      </c>
      <c r="P23" s="61">
        <f t="shared" si="4"/>
        <v>0</v>
      </c>
      <c r="Q23" s="61">
        <f t="shared" si="4"/>
        <v>0</v>
      </c>
      <c r="R23" s="61">
        <f t="shared" si="4"/>
        <v>0</v>
      </c>
      <c r="S23" s="61">
        <f t="shared" si="4"/>
        <v>0</v>
      </c>
      <c r="T23" s="61"/>
      <c r="U23" s="61"/>
      <c r="V23" s="61"/>
      <c r="W23" s="61"/>
      <c r="X23" s="61"/>
      <c r="Y23" s="61"/>
      <c r="Z23" s="61">
        <f t="shared" si="4"/>
        <v>0</v>
      </c>
      <c r="AA23" s="61">
        <f t="shared" si="4"/>
        <v>0</v>
      </c>
      <c r="AB23" s="61">
        <f t="shared" si="4"/>
        <v>0</v>
      </c>
      <c r="AC23" s="61">
        <f t="shared" si="4"/>
        <v>0</v>
      </c>
      <c r="AD23" s="61">
        <f t="shared" si="4"/>
        <v>0</v>
      </c>
      <c r="AE23" s="61">
        <f t="shared" si="4"/>
        <v>0</v>
      </c>
      <c r="AF23" s="61">
        <f>SUM(AF25)</f>
        <v>10000000</v>
      </c>
      <c r="AG23" s="61">
        <f t="shared" si="4"/>
        <v>15500000</v>
      </c>
      <c r="AH23" s="61">
        <f t="shared" si="4"/>
        <v>15500000</v>
      </c>
      <c r="AI23" s="712">
        <f>SUM(AI25)</f>
        <v>10000000</v>
      </c>
      <c r="AJ23" s="712">
        <f>SUM(AJ25)</f>
        <v>15500000</v>
      </c>
      <c r="AK23" s="92">
        <f>+G23+J23+P23+S23+AB23+AH23+AE23</f>
        <v>15500000</v>
      </c>
    </row>
    <row r="24" spans="1:37" s="38" customFormat="1" ht="20.25" customHeight="1" x14ac:dyDescent="0.2">
      <c r="A24" s="1126" t="s">
        <v>468</v>
      </c>
      <c r="B24" s="1128"/>
      <c r="C24" s="1128"/>
      <c r="D24" s="1128"/>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742"/>
      <c r="AH24" s="785"/>
      <c r="AI24" s="92">
        <f>+E24+H24+N24+Q24+Z24+AF24</f>
        <v>0</v>
      </c>
      <c r="AJ24" s="92">
        <f>+F24+I24+O24+R24+AA24+AG24</f>
        <v>0</v>
      </c>
      <c r="AK24" s="92">
        <f>+G24+J24+P24+S24+AB24+AH24+AE24</f>
        <v>0</v>
      </c>
    </row>
    <row r="25" spans="1:37" ht="25.5" customHeight="1" x14ac:dyDescent="0.2">
      <c r="A25" s="689" t="s">
        <v>191</v>
      </c>
      <c r="B25" s="572" t="s">
        <v>90</v>
      </c>
      <c r="C25" s="581" t="s">
        <v>1545</v>
      </c>
      <c r="D25" s="582" t="s">
        <v>1334</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v>10000000</v>
      </c>
      <c r="AG25" s="146">
        <v>15500000</v>
      </c>
      <c r="AH25" s="745">
        <v>15500000</v>
      </c>
      <c r="AI25" s="92">
        <f>+E25+H25+N25+Q25+Z25+AF25</f>
        <v>10000000</v>
      </c>
      <c r="AJ25" s="92">
        <f>+F25+I25+O25+R25+AA25+AG25</f>
        <v>15500000</v>
      </c>
      <c r="AK25" s="92">
        <f>+G25+J25+P25+S25+AB25+AH25+AE25</f>
        <v>15500000</v>
      </c>
    </row>
    <row r="26" spans="1:37" ht="31.5" customHeight="1" x14ac:dyDescent="0.2">
      <c r="A26" s="1124" t="s">
        <v>29</v>
      </c>
      <c r="B26" s="1125"/>
      <c r="C26" s="1125"/>
      <c r="D26" s="1125"/>
      <c r="E26" s="61">
        <f t="shared" ref="E26:M26" si="5">+E23+E5</f>
        <v>6000000</v>
      </c>
      <c r="F26" s="61">
        <f t="shared" si="5"/>
        <v>4852690</v>
      </c>
      <c r="G26" s="61">
        <f t="shared" si="5"/>
        <v>4533200</v>
      </c>
      <c r="H26" s="61">
        <f t="shared" si="5"/>
        <v>2500000</v>
      </c>
      <c r="I26" s="61">
        <f t="shared" si="5"/>
        <v>2570000</v>
      </c>
      <c r="J26" s="61">
        <f t="shared" si="5"/>
        <v>1570000</v>
      </c>
      <c r="K26" s="61">
        <f t="shared" si="5"/>
        <v>0</v>
      </c>
      <c r="L26" s="61">
        <f t="shared" si="5"/>
        <v>1811551</v>
      </c>
      <c r="M26" s="61">
        <f t="shared" si="5"/>
        <v>1811551</v>
      </c>
      <c r="N26" s="61">
        <f t="shared" ref="N26:AH26" si="6">+N23+N5</f>
        <v>4000000</v>
      </c>
      <c r="O26" s="61">
        <f t="shared" si="6"/>
        <v>4000000</v>
      </c>
      <c r="P26" s="61">
        <f t="shared" si="6"/>
        <v>0</v>
      </c>
      <c r="Q26" s="61">
        <f t="shared" si="6"/>
        <v>1320000</v>
      </c>
      <c r="R26" s="61">
        <f t="shared" si="6"/>
        <v>1320000</v>
      </c>
      <c r="S26" s="61">
        <f t="shared" si="6"/>
        <v>1320000</v>
      </c>
      <c r="T26" s="61">
        <f t="shared" si="6"/>
        <v>0</v>
      </c>
      <c r="U26" s="61">
        <f t="shared" si="6"/>
        <v>1554735</v>
      </c>
      <c r="V26" s="61">
        <f t="shared" si="6"/>
        <v>1554735</v>
      </c>
      <c r="W26" s="61">
        <f t="shared" si="6"/>
        <v>0</v>
      </c>
      <c r="X26" s="61">
        <f t="shared" si="6"/>
        <v>1636291</v>
      </c>
      <c r="Y26" s="61">
        <f t="shared" si="6"/>
        <v>1636291</v>
      </c>
      <c r="Z26" s="61">
        <f t="shared" si="6"/>
        <v>0</v>
      </c>
      <c r="AA26" s="61">
        <f t="shared" si="6"/>
        <v>65994</v>
      </c>
      <c r="AB26" s="61">
        <f t="shared" si="6"/>
        <v>65994</v>
      </c>
      <c r="AC26" s="61">
        <f t="shared" si="6"/>
        <v>0</v>
      </c>
      <c r="AD26" s="61">
        <f t="shared" si="6"/>
        <v>960000</v>
      </c>
      <c r="AE26" s="61">
        <f t="shared" si="6"/>
        <v>960000</v>
      </c>
      <c r="AF26" s="61">
        <f t="shared" si="6"/>
        <v>10000000</v>
      </c>
      <c r="AG26" s="61">
        <f t="shared" si="6"/>
        <v>15500000</v>
      </c>
      <c r="AH26" s="394">
        <f t="shared" si="6"/>
        <v>15500000</v>
      </c>
      <c r="AI26" s="712">
        <f>+AI23+AI5</f>
        <v>23820000</v>
      </c>
      <c r="AJ26" s="712">
        <f>+AJ23+AJ5</f>
        <v>34271261</v>
      </c>
      <c r="AK26" s="712">
        <f>+AK23+AK5</f>
        <v>28951771</v>
      </c>
    </row>
    <row r="27" spans="1:37" x14ac:dyDescent="0.2">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row>
    <row r="28" spans="1:37" x14ac:dyDescent="0.2">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row>
    <row r="29" spans="1:37" x14ac:dyDescent="0.2">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row>
    <row r="30" spans="1:37" x14ac:dyDescent="0.2">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row>
    <row r="31" spans="1:37" x14ac:dyDescent="0.2">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row>
    <row r="32" spans="1:37" x14ac:dyDescent="0.2">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row>
  </sheetData>
  <mergeCells count="22">
    <mergeCell ref="Q1:AK1"/>
    <mergeCell ref="E1:P1"/>
    <mergeCell ref="AC4:AE4"/>
    <mergeCell ref="AF4:AH4"/>
    <mergeCell ref="AI4:AK4"/>
    <mergeCell ref="T4:V4"/>
    <mergeCell ref="W4:Y4"/>
    <mergeCell ref="A21:D21"/>
    <mergeCell ref="Z4:AB4"/>
    <mergeCell ref="K4:M4"/>
    <mergeCell ref="A26:D26"/>
    <mergeCell ref="A23:D23"/>
    <mergeCell ref="A5:D5"/>
    <mergeCell ref="A24:D24"/>
    <mergeCell ref="D3:D4"/>
    <mergeCell ref="C3:C4"/>
    <mergeCell ref="B3:B4"/>
    <mergeCell ref="A3:A4"/>
    <mergeCell ref="E4:G4"/>
    <mergeCell ref="H4:J4"/>
    <mergeCell ref="N4:P4"/>
    <mergeCell ref="Q4:S4"/>
  </mergeCells>
  <phoneticPr fontId="44" type="noConversion"/>
  <printOptions horizontalCentered="1" verticalCentered="1"/>
  <pageMargins left="0.31496062992125984" right="0.31496062992125984" top="0.74803149606299213" bottom="0.74803149606299213" header="0.31496062992125984" footer="0.31496062992125984"/>
  <pageSetup paperSize="9" scale="40" orientation="landscape" r:id="rId1"/>
  <headerFooter>
    <oddHeader>&amp;C2022. évi zárszámadás&amp;R&amp;A</oddHeader>
    <oddFooter>&amp;C&amp;P/&amp;N</oddFooter>
  </headerFooter>
  <colBreaks count="1" manualBreakCount="1">
    <brk id="19" max="2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R159"/>
  <sheetViews>
    <sheetView topLeftCell="A36" zoomScale="84" zoomScaleNormal="84" zoomScaleSheetLayoutView="40" workbookViewId="0">
      <selection activeCell="D57" sqref="D57:D58"/>
    </sheetView>
  </sheetViews>
  <sheetFormatPr defaultColWidth="9.140625" defaultRowHeight="12.75" x14ac:dyDescent="0.2"/>
  <cols>
    <col min="1" max="1" width="4.28515625" style="18" customWidth="1"/>
    <col min="2" max="2" width="3.5703125" style="18" bestFit="1" customWidth="1"/>
    <col min="3" max="3" width="5" style="18" customWidth="1"/>
    <col min="4" max="4" width="58.7109375" style="18" customWidth="1"/>
    <col min="5" max="5" width="18.28515625" style="18" bestFit="1" customWidth="1"/>
    <col min="6" max="6" width="18.5703125" style="18" bestFit="1" customWidth="1"/>
    <col min="7" max="7" width="18.7109375" style="18" bestFit="1" customWidth="1"/>
    <col min="8" max="8" width="17.28515625" style="18" customWidth="1"/>
    <col min="9" max="9" width="18.7109375" style="18" customWidth="1"/>
    <col min="10" max="10" width="17.85546875" style="18" customWidth="1"/>
    <col min="11" max="11" width="19.7109375" style="18" bestFit="1" customWidth="1"/>
    <col min="12" max="12" width="19.28515625" style="18" customWidth="1"/>
    <col min="13" max="13" width="19.42578125" style="18" bestFit="1" customWidth="1"/>
    <col min="14" max="14" width="16.7109375" style="18" customWidth="1"/>
    <col min="15" max="15" width="19" style="18" customWidth="1"/>
    <col min="16" max="16" width="16" style="18" customWidth="1"/>
    <col min="17" max="17" width="16.28515625" style="18" customWidth="1"/>
    <col min="18" max="18" width="14.140625" style="18" bestFit="1" customWidth="1"/>
    <col min="19" max="16384" width="9.140625" style="18"/>
  </cols>
  <sheetData>
    <row r="1" spans="1:17" ht="23.25" customHeight="1" x14ac:dyDescent="0.2">
      <c r="A1" s="1133" t="s">
        <v>61</v>
      </c>
      <c r="B1" s="1133"/>
      <c r="C1" s="1133"/>
      <c r="D1" s="1133"/>
      <c r="E1" s="1133"/>
      <c r="F1" s="1133"/>
      <c r="G1" s="1133"/>
      <c r="H1" s="1133"/>
      <c r="I1" s="1133"/>
      <c r="J1" s="1133"/>
      <c r="K1" s="1133"/>
      <c r="L1" s="1133"/>
      <c r="M1" s="1133"/>
      <c r="N1" s="1133"/>
      <c r="O1" s="1133"/>
      <c r="P1" s="1133"/>
      <c r="Q1" s="1133"/>
    </row>
    <row r="2" spans="1:17" ht="30" customHeight="1" x14ac:dyDescent="0.25">
      <c r="A2" s="1147"/>
      <c r="B2" s="1147"/>
      <c r="C2" s="1147"/>
      <c r="D2" s="1147"/>
      <c r="E2" s="1147"/>
      <c r="F2" s="1147"/>
      <c r="G2" s="1147"/>
      <c r="H2" s="1147"/>
      <c r="I2" s="1147"/>
      <c r="J2" s="1147"/>
      <c r="K2" s="1147"/>
      <c r="L2" s="1147"/>
      <c r="M2" s="1147"/>
      <c r="N2" s="1147"/>
      <c r="O2" s="1147"/>
      <c r="P2" s="1147"/>
    </row>
    <row r="3" spans="1:17" ht="36" customHeight="1" x14ac:dyDescent="0.2">
      <c r="A3" s="1137" t="s">
        <v>53</v>
      </c>
      <c r="B3" s="1137" t="s">
        <v>647</v>
      </c>
      <c r="C3" s="1136" t="s">
        <v>1</v>
      </c>
      <c r="D3" s="1156" t="s">
        <v>2</v>
      </c>
      <c r="E3" s="384" t="s">
        <v>274</v>
      </c>
      <c r="F3" s="521" t="s">
        <v>1074</v>
      </c>
      <c r="G3" s="522" t="s">
        <v>1546</v>
      </c>
      <c r="H3" s="384" t="s">
        <v>274</v>
      </c>
      <c r="I3" s="521" t="s">
        <v>1074</v>
      </c>
      <c r="J3" s="522" t="s">
        <v>1546</v>
      </c>
      <c r="K3" s="390" t="s">
        <v>274</v>
      </c>
      <c r="L3" s="521" t="s">
        <v>1074</v>
      </c>
      <c r="M3" s="522" t="s">
        <v>1546</v>
      </c>
      <c r="N3" s="384" t="s">
        <v>274</v>
      </c>
      <c r="O3" s="522" t="s">
        <v>1074</v>
      </c>
      <c r="P3" s="390" t="s">
        <v>274</v>
      </c>
      <c r="Q3" s="522" t="s">
        <v>1074</v>
      </c>
    </row>
    <row r="4" spans="1:17" ht="66.75" customHeight="1" x14ac:dyDescent="0.2">
      <c r="A4" s="1137"/>
      <c r="B4" s="1137"/>
      <c r="C4" s="1136"/>
      <c r="D4" s="1157"/>
      <c r="E4" s="1121" t="s">
        <v>68</v>
      </c>
      <c r="F4" s="1122"/>
      <c r="G4" s="1123"/>
      <c r="H4" s="1121" t="s">
        <v>691</v>
      </c>
      <c r="I4" s="1122"/>
      <c r="J4" s="1123"/>
      <c r="K4" s="1122" t="s">
        <v>64</v>
      </c>
      <c r="L4" s="1122"/>
      <c r="M4" s="1123"/>
      <c r="N4" s="1121" t="s">
        <v>764</v>
      </c>
      <c r="O4" s="1123"/>
      <c r="P4" s="1122" t="s">
        <v>11</v>
      </c>
      <c r="Q4" s="1123"/>
    </row>
    <row r="5" spans="1:17" ht="17.25" customHeight="1" x14ac:dyDescent="0.2">
      <c r="A5" s="1140" t="s">
        <v>55</v>
      </c>
      <c r="B5" s="1141"/>
      <c r="C5" s="1141"/>
      <c r="D5" s="1141"/>
      <c r="E5" s="1158" t="s">
        <v>77</v>
      </c>
      <c r="F5" s="1158"/>
      <c r="G5" s="1158"/>
      <c r="H5" s="1158" t="s">
        <v>692</v>
      </c>
      <c r="I5" s="1158"/>
      <c r="J5" s="1159"/>
      <c r="K5" s="1160" t="s">
        <v>385</v>
      </c>
      <c r="L5" s="1161"/>
      <c r="M5" s="1161"/>
      <c r="N5" s="354"/>
      <c r="O5" s="354"/>
      <c r="P5" s="395"/>
      <c r="Q5" s="396"/>
    </row>
    <row r="6" spans="1:17" s="38" customFormat="1" ht="23.25" customHeight="1" x14ac:dyDescent="0.2">
      <c r="A6" s="1138" t="s">
        <v>907</v>
      </c>
      <c r="B6" s="1139"/>
      <c r="C6" s="1139"/>
      <c r="D6" s="692" t="s">
        <v>908</v>
      </c>
      <c r="E6" s="41">
        <f>+E7</f>
        <v>0</v>
      </c>
      <c r="F6" s="41">
        <f t="shared" ref="F6:O6" si="0">+F7</f>
        <v>0</v>
      </c>
      <c r="G6" s="41"/>
      <c r="H6" s="41">
        <f t="shared" si="0"/>
        <v>0</v>
      </c>
      <c r="I6" s="41">
        <f t="shared" si="0"/>
        <v>0</v>
      </c>
      <c r="J6" s="42"/>
      <c r="K6" s="803">
        <f>+K7</f>
        <v>14856000</v>
      </c>
      <c r="L6" s="41">
        <f>+L7</f>
        <v>14856000</v>
      </c>
      <c r="M6" s="41">
        <f>+M7</f>
        <v>14856000</v>
      </c>
      <c r="N6" s="41">
        <f t="shared" si="0"/>
        <v>0</v>
      </c>
      <c r="O6" s="41">
        <f t="shared" si="0"/>
        <v>0</v>
      </c>
      <c r="P6" s="41"/>
      <c r="Q6" s="42"/>
    </row>
    <row r="7" spans="1:17" ht="23.25" customHeight="1" x14ac:dyDescent="0.2">
      <c r="A7" s="689" t="s">
        <v>191</v>
      </c>
      <c r="B7" s="572">
        <v>313</v>
      </c>
      <c r="C7" s="690"/>
      <c r="D7" s="690" t="s">
        <v>396</v>
      </c>
      <c r="E7" s="354"/>
      <c r="F7" s="354"/>
      <c r="G7" s="354"/>
      <c r="H7" s="354"/>
      <c r="I7" s="354"/>
      <c r="J7" s="117"/>
      <c r="K7" s="780">
        <v>14856000</v>
      </c>
      <c r="L7" s="354">
        <v>14856000</v>
      </c>
      <c r="M7" s="354">
        <f>6*1238000+1238000+1238000+1238000+3714000</f>
        <v>14856000</v>
      </c>
      <c r="N7" s="354"/>
      <c r="O7" s="354"/>
      <c r="P7" s="354" t="s">
        <v>226</v>
      </c>
      <c r="Q7" s="117" t="s">
        <v>226</v>
      </c>
    </row>
    <row r="8" spans="1:17" s="38" customFormat="1" ht="23.25" customHeight="1" x14ac:dyDescent="0.2">
      <c r="A8" s="1138" t="s">
        <v>1066</v>
      </c>
      <c r="B8" s="1139"/>
      <c r="C8" s="1139"/>
      <c r="D8" s="692" t="s">
        <v>1067</v>
      </c>
      <c r="E8" s="41">
        <f>SUM(E9)</f>
        <v>0</v>
      </c>
      <c r="F8" s="41">
        <f t="shared" ref="F8:O8" si="1">SUM(F9)</f>
        <v>0</v>
      </c>
      <c r="G8" s="41"/>
      <c r="H8" s="41">
        <f t="shared" si="1"/>
        <v>0</v>
      </c>
      <c r="I8" s="41">
        <f t="shared" si="1"/>
        <v>0</v>
      </c>
      <c r="J8" s="42"/>
      <c r="K8" s="803">
        <f>SUM(K9)</f>
        <v>25216800</v>
      </c>
      <c r="L8" s="41">
        <f>SUM(L9)</f>
        <v>29216800</v>
      </c>
      <c r="M8" s="41">
        <f>SUM(M9)</f>
        <v>29216800</v>
      </c>
      <c r="N8" s="41">
        <f t="shared" si="1"/>
        <v>0</v>
      </c>
      <c r="O8" s="41">
        <f t="shared" si="1"/>
        <v>0</v>
      </c>
      <c r="P8" s="41"/>
      <c r="Q8" s="42"/>
    </row>
    <row r="9" spans="1:17" s="38" customFormat="1" ht="23.25" customHeight="1" x14ac:dyDescent="0.2">
      <c r="A9" s="689" t="s">
        <v>191</v>
      </c>
      <c r="B9" s="572">
        <v>312</v>
      </c>
      <c r="C9" s="690"/>
      <c r="D9" s="690" t="s">
        <v>1355</v>
      </c>
      <c r="E9" s="354"/>
      <c r="F9" s="354"/>
      <c r="G9" s="354"/>
      <c r="H9" s="354"/>
      <c r="I9" s="354"/>
      <c r="J9" s="117"/>
      <c r="K9" s="780">
        <v>25216800</v>
      </c>
      <c r="L9" s="354">
        <f>25216800+4000000</f>
        <v>29216800</v>
      </c>
      <c r="M9" s="354">
        <f>12608400+4000000+12608400</f>
        <v>29216800</v>
      </c>
      <c r="N9" s="354"/>
      <c r="O9" s="354"/>
      <c r="P9" s="354" t="s">
        <v>226</v>
      </c>
      <c r="Q9" s="117" t="s">
        <v>226</v>
      </c>
    </row>
    <row r="10" spans="1:17" s="38" customFormat="1" ht="23.25" customHeight="1" x14ac:dyDescent="0.2">
      <c r="A10" s="1138" t="s">
        <v>69</v>
      </c>
      <c r="B10" s="1139"/>
      <c r="C10" s="1139"/>
      <c r="D10" s="692" t="s">
        <v>1068</v>
      </c>
      <c r="E10" s="41">
        <f>SUM(E11:E15)</f>
        <v>0</v>
      </c>
      <c r="F10" s="41">
        <f t="shared" ref="F10:O10" si="2">SUM(F11:F15)</f>
        <v>0</v>
      </c>
      <c r="G10" s="41"/>
      <c r="H10" s="41">
        <f t="shared" si="2"/>
        <v>0</v>
      </c>
      <c r="I10" s="41">
        <f t="shared" si="2"/>
        <v>0</v>
      </c>
      <c r="J10" s="42"/>
      <c r="K10" s="803">
        <f>SUM(K11:K16)</f>
        <v>3220000</v>
      </c>
      <c r="L10" s="803">
        <f>SUM(L11:L16)</f>
        <v>3307452</v>
      </c>
      <c r="M10" s="803">
        <f>SUM(M11:M16)</f>
        <v>3307452</v>
      </c>
      <c r="N10" s="41">
        <f t="shared" si="2"/>
        <v>0</v>
      </c>
      <c r="O10" s="41">
        <f t="shared" si="2"/>
        <v>0</v>
      </c>
      <c r="P10" s="41"/>
      <c r="Q10" s="42"/>
    </row>
    <row r="11" spans="1:17" ht="23.25" customHeight="1" x14ac:dyDescent="0.2">
      <c r="A11" s="53" t="s">
        <v>192</v>
      </c>
      <c r="B11" s="147">
        <v>306</v>
      </c>
      <c r="C11" s="272"/>
      <c r="D11" s="272" t="s">
        <v>70</v>
      </c>
      <c r="E11" s="542"/>
      <c r="F11" s="542"/>
      <c r="G11" s="542"/>
      <c r="H11" s="542"/>
      <c r="I11" s="542"/>
      <c r="J11" s="567"/>
      <c r="K11" s="804">
        <v>500000</v>
      </c>
      <c r="L11" s="542">
        <v>500000</v>
      </c>
      <c r="M11" s="542">
        <v>500000</v>
      </c>
      <c r="N11" s="542"/>
      <c r="O11" s="542"/>
      <c r="P11" s="542" t="s">
        <v>226</v>
      </c>
      <c r="Q11" s="567" t="s">
        <v>226</v>
      </c>
    </row>
    <row r="12" spans="1:17" ht="23.25" customHeight="1" x14ac:dyDescent="0.2">
      <c r="A12" s="54" t="s">
        <v>193</v>
      </c>
      <c r="B12" s="132">
        <v>306</v>
      </c>
      <c r="C12" s="114"/>
      <c r="D12" s="145" t="s">
        <v>595</v>
      </c>
      <c r="E12" s="543"/>
      <c r="F12" s="543"/>
      <c r="G12" s="543"/>
      <c r="H12" s="543"/>
      <c r="I12" s="543"/>
      <c r="J12" s="65"/>
      <c r="K12" s="805">
        <v>500000</v>
      </c>
      <c r="L12" s="543">
        <v>500000</v>
      </c>
      <c r="M12" s="543">
        <v>500000</v>
      </c>
      <c r="N12" s="543"/>
      <c r="O12" s="543"/>
      <c r="P12" s="543" t="s">
        <v>226</v>
      </c>
      <c r="Q12" s="65" t="s">
        <v>226</v>
      </c>
    </row>
    <row r="13" spans="1:17" ht="23.25" customHeight="1" x14ac:dyDescent="0.2">
      <c r="A13" s="54" t="s">
        <v>194</v>
      </c>
      <c r="B13" s="132">
        <v>306</v>
      </c>
      <c r="C13" s="114"/>
      <c r="D13" s="145" t="s">
        <v>596</v>
      </c>
      <c r="E13" s="543"/>
      <c r="F13" s="543"/>
      <c r="G13" s="543"/>
      <c r="H13" s="543"/>
      <c r="I13" s="543"/>
      <c r="J13" s="65"/>
      <c r="K13" s="805">
        <v>300000</v>
      </c>
      <c r="L13" s="543">
        <v>300000</v>
      </c>
      <c r="M13" s="543">
        <v>300000</v>
      </c>
      <c r="N13" s="543"/>
      <c r="O13" s="543"/>
      <c r="P13" s="543" t="s">
        <v>226</v>
      </c>
      <c r="Q13" s="65" t="s">
        <v>226</v>
      </c>
    </row>
    <row r="14" spans="1:17" ht="23.25" customHeight="1" x14ac:dyDescent="0.2">
      <c r="A14" s="54" t="s">
        <v>196</v>
      </c>
      <c r="B14" s="132">
        <v>306</v>
      </c>
      <c r="C14" s="114"/>
      <c r="D14" s="145" t="s">
        <v>584</v>
      </c>
      <c r="E14" s="543"/>
      <c r="F14" s="543"/>
      <c r="G14" s="543"/>
      <c r="H14" s="543"/>
      <c r="I14" s="543"/>
      <c r="J14" s="65"/>
      <c r="K14" s="805">
        <v>1000000</v>
      </c>
      <c r="L14" s="543">
        <v>1000000</v>
      </c>
      <c r="M14" s="543">
        <v>1000000</v>
      </c>
      <c r="N14" s="543"/>
      <c r="O14" s="543"/>
      <c r="P14" s="543" t="s">
        <v>226</v>
      </c>
      <c r="Q14" s="65" t="s">
        <v>226</v>
      </c>
    </row>
    <row r="15" spans="1:17" ht="23.25" customHeight="1" x14ac:dyDescent="0.2">
      <c r="A15" s="54" t="s">
        <v>198</v>
      </c>
      <c r="B15" s="132">
        <v>306</v>
      </c>
      <c r="C15" s="114"/>
      <c r="D15" s="145" t="s">
        <v>916</v>
      </c>
      <c r="E15" s="543"/>
      <c r="F15" s="543"/>
      <c r="G15" s="543"/>
      <c r="H15" s="543"/>
      <c r="I15" s="543"/>
      <c r="J15" s="65"/>
      <c r="K15" s="805">
        <v>920000</v>
      </c>
      <c r="L15" s="543">
        <v>920000</v>
      </c>
      <c r="M15" s="543">
        <v>920000</v>
      </c>
      <c r="N15" s="543"/>
      <c r="O15" s="543"/>
      <c r="P15" s="543" t="s">
        <v>226</v>
      </c>
      <c r="Q15" s="65" t="s">
        <v>226</v>
      </c>
    </row>
    <row r="16" spans="1:17" ht="23.25" customHeight="1" x14ac:dyDescent="0.2">
      <c r="A16" s="138" t="s">
        <v>199</v>
      </c>
      <c r="B16" s="324">
        <v>306</v>
      </c>
      <c r="C16" s="144"/>
      <c r="D16" s="409" t="s">
        <v>2154</v>
      </c>
      <c r="E16" s="282"/>
      <c r="F16" s="282"/>
      <c r="G16" s="282"/>
      <c r="H16" s="282"/>
      <c r="I16" s="282"/>
      <c r="J16" s="585"/>
      <c r="K16" s="806"/>
      <c r="L16" s="282">
        <v>87452</v>
      </c>
      <c r="M16" s="282">
        <v>87452</v>
      </c>
      <c r="N16" s="282"/>
      <c r="O16" s="282"/>
      <c r="P16" s="282" t="s">
        <v>226</v>
      </c>
      <c r="Q16" s="585" t="s">
        <v>226</v>
      </c>
    </row>
    <row r="17" spans="1:17" s="38" customFormat="1" ht="23.25" customHeight="1" x14ac:dyDescent="0.2">
      <c r="A17" s="1142" t="s">
        <v>71</v>
      </c>
      <c r="B17" s="1135"/>
      <c r="C17" s="1135"/>
      <c r="D17" s="691" t="s">
        <v>1069</v>
      </c>
      <c r="E17" s="116">
        <f>+E18</f>
        <v>0</v>
      </c>
      <c r="F17" s="116">
        <f t="shared" ref="F17:O17" si="3">+F18</f>
        <v>0</v>
      </c>
      <c r="G17" s="116"/>
      <c r="H17" s="116">
        <f t="shared" si="3"/>
        <v>0</v>
      </c>
      <c r="I17" s="116">
        <f t="shared" si="3"/>
        <v>0</v>
      </c>
      <c r="J17" s="274"/>
      <c r="K17" s="808">
        <f>+K18</f>
        <v>3080000</v>
      </c>
      <c r="L17" s="116">
        <f>+L18</f>
        <v>3080000</v>
      </c>
      <c r="M17" s="116">
        <f>+M18</f>
        <v>3080000</v>
      </c>
      <c r="N17" s="116">
        <f t="shared" si="3"/>
        <v>0</v>
      </c>
      <c r="O17" s="116">
        <f t="shared" si="3"/>
        <v>0</v>
      </c>
      <c r="P17" s="354"/>
      <c r="Q17" s="117"/>
    </row>
    <row r="18" spans="1:17" ht="23.25" customHeight="1" x14ac:dyDescent="0.2">
      <c r="A18" s="689" t="s">
        <v>191</v>
      </c>
      <c r="B18" s="572">
        <v>307</v>
      </c>
      <c r="C18" s="690"/>
      <c r="D18" s="690" t="s">
        <v>72</v>
      </c>
      <c r="E18" s="354"/>
      <c r="F18" s="354"/>
      <c r="G18" s="354"/>
      <c r="H18" s="354"/>
      <c r="I18" s="354"/>
      <c r="J18" s="117"/>
      <c r="K18" s="780">
        <v>3080000</v>
      </c>
      <c r="L18" s="354">
        <v>3080000</v>
      </c>
      <c r="M18" s="354">
        <f>1540000+1540000</f>
        <v>3080000</v>
      </c>
      <c r="N18" s="354"/>
      <c r="O18" s="354"/>
      <c r="P18" s="354" t="s">
        <v>226</v>
      </c>
      <c r="Q18" s="117" t="s">
        <v>226</v>
      </c>
    </row>
    <row r="19" spans="1:17" s="38" customFormat="1" ht="23.25" customHeight="1" x14ac:dyDescent="0.2">
      <c r="A19" s="1142" t="s">
        <v>74</v>
      </c>
      <c r="B19" s="1135"/>
      <c r="C19" s="1135"/>
      <c r="D19" s="687" t="s">
        <v>1070</v>
      </c>
      <c r="E19" s="116">
        <f>+E20</f>
        <v>0</v>
      </c>
      <c r="F19" s="116">
        <f t="shared" ref="F19:O19" si="4">+F20</f>
        <v>0</v>
      </c>
      <c r="G19" s="116"/>
      <c r="H19" s="116">
        <f t="shared" si="4"/>
        <v>0</v>
      </c>
      <c r="I19" s="116">
        <f t="shared" si="4"/>
        <v>0</v>
      </c>
      <c r="J19" s="274"/>
      <c r="K19" s="808">
        <f>+K20</f>
        <v>79620000</v>
      </c>
      <c r="L19" s="116">
        <f>+L20</f>
        <v>107352000</v>
      </c>
      <c r="M19" s="116">
        <f>+M20</f>
        <v>99133479</v>
      </c>
      <c r="N19" s="116">
        <f t="shared" si="4"/>
        <v>0</v>
      </c>
      <c r="O19" s="116">
        <f t="shared" si="4"/>
        <v>0</v>
      </c>
      <c r="P19" s="116"/>
      <c r="Q19" s="274"/>
    </row>
    <row r="20" spans="1:17" ht="26.25" customHeight="1" x14ac:dyDescent="0.2">
      <c r="A20" s="133" t="s">
        <v>191</v>
      </c>
      <c r="B20" s="134">
        <v>309</v>
      </c>
      <c r="C20" s="135"/>
      <c r="D20" s="515" t="s">
        <v>1380</v>
      </c>
      <c r="E20" s="271"/>
      <c r="F20" s="271"/>
      <c r="G20" s="271"/>
      <c r="H20" s="271"/>
      <c r="I20" s="271"/>
      <c r="J20" s="810"/>
      <c r="K20" s="809">
        <f>72000000+7620000</f>
        <v>79620000</v>
      </c>
      <c r="L20" s="271">
        <f>72000000+7620000+300000+3429000+24003000</f>
        <v>107352000</v>
      </c>
      <c r="M20" s="271">
        <f>43539000+2586182+635000+6000000+2286000+6000000+635000+635000+6000000+2286000+28531297</f>
        <v>99133479</v>
      </c>
      <c r="N20" s="354"/>
      <c r="O20" s="354"/>
      <c r="P20" s="354" t="s">
        <v>226</v>
      </c>
      <c r="Q20" s="117" t="s">
        <v>226</v>
      </c>
    </row>
    <row r="21" spans="1:17" s="38" customFormat="1" ht="26.25" customHeight="1" x14ac:dyDescent="0.2">
      <c r="A21" s="1134" t="s">
        <v>909</v>
      </c>
      <c r="B21" s="1135"/>
      <c r="C21" s="1135"/>
      <c r="D21" s="273" t="s">
        <v>2118</v>
      </c>
      <c r="E21" s="116">
        <f>SUM(E22:E22)</f>
        <v>4000000</v>
      </c>
      <c r="F21" s="116">
        <f>SUM(F22:F22)</f>
        <v>4000000</v>
      </c>
      <c r="G21" s="116">
        <f>SUM(G22:G22)</f>
        <v>3900000</v>
      </c>
      <c r="H21" s="116">
        <f t="shared" ref="H21:O21" si="5">SUM(H22:H22)</f>
        <v>0</v>
      </c>
      <c r="I21" s="116">
        <f t="shared" si="5"/>
        <v>0</v>
      </c>
      <c r="J21" s="274"/>
      <c r="K21" s="808">
        <f t="shared" si="5"/>
        <v>0</v>
      </c>
      <c r="L21" s="116">
        <f t="shared" si="5"/>
        <v>0</v>
      </c>
      <c r="M21" s="116"/>
      <c r="N21" s="116">
        <f t="shared" si="5"/>
        <v>0</v>
      </c>
      <c r="O21" s="116">
        <f t="shared" si="5"/>
        <v>0</v>
      </c>
      <c r="P21" s="354"/>
      <c r="Q21" s="117"/>
    </row>
    <row r="22" spans="1:17" ht="23.25" customHeight="1" x14ac:dyDescent="0.2">
      <c r="A22" s="53" t="s">
        <v>191</v>
      </c>
      <c r="B22" s="147">
        <v>310</v>
      </c>
      <c r="C22" s="272"/>
      <c r="D22" s="272" t="s">
        <v>75</v>
      </c>
      <c r="E22" s="542">
        <v>4000000</v>
      </c>
      <c r="F22" s="542">
        <v>4000000</v>
      </c>
      <c r="G22" s="542">
        <f>2000000-100000+2000000</f>
        <v>3900000</v>
      </c>
      <c r="H22" s="542"/>
      <c r="I22" s="542"/>
      <c r="J22" s="567"/>
      <c r="K22" s="804"/>
      <c r="L22" s="542"/>
      <c r="M22" s="653"/>
      <c r="N22" s="354"/>
      <c r="O22" s="354"/>
      <c r="P22" s="354" t="s">
        <v>226</v>
      </c>
      <c r="Q22" s="117" t="s">
        <v>226</v>
      </c>
    </row>
    <row r="23" spans="1:17" ht="23.25" customHeight="1" x14ac:dyDescent="0.2">
      <c r="A23" s="1148" t="s">
        <v>567</v>
      </c>
      <c r="B23" s="1149"/>
      <c r="C23" s="1149"/>
      <c r="D23" s="273" t="s">
        <v>1071</v>
      </c>
      <c r="E23" s="116">
        <f>SUM(E24:E25)</f>
        <v>0</v>
      </c>
      <c r="F23" s="116">
        <f t="shared" ref="F23:O23" si="6">SUM(F24:F25)</f>
        <v>0</v>
      </c>
      <c r="G23" s="116"/>
      <c r="H23" s="116">
        <f t="shared" si="6"/>
        <v>0</v>
      </c>
      <c r="I23" s="116">
        <f t="shared" si="6"/>
        <v>0</v>
      </c>
      <c r="J23" s="274"/>
      <c r="K23" s="808">
        <f>SUM(K24:K32)</f>
        <v>2590000</v>
      </c>
      <c r="L23" s="808">
        <f>SUM(L24:L32)</f>
        <v>4295000</v>
      </c>
      <c r="M23" s="808">
        <f>SUM(M24:M32)</f>
        <v>4195000</v>
      </c>
      <c r="N23" s="116">
        <f t="shared" si="6"/>
        <v>0</v>
      </c>
      <c r="O23" s="116">
        <f t="shared" si="6"/>
        <v>0</v>
      </c>
      <c r="P23" s="116"/>
      <c r="Q23" s="274"/>
    </row>
    <row r="24" spans="1:17" ht="24" customHeight="1" x14ac:dyDescent="0.2">
      <c r="A24" s="53" t="s">
        <v>191</v>
      </c>
      <c r="B24" s="147">
        <v>306</v>
      </c>
      <c r="C24" s="272"/>
      <c r="D24" s="614" t="s">
        <v>583</v>
      </c>
      <c r="E24" s="542"/>
      <c r="F24" s="542"/>
      <c r="G24" s="542"/>
      <c r="H24" s="542"/>
      <c r="I24" s="542"/>
      <c r="J24" s="567"/>
      <c r="K24" s="804">
        <v>1750000</v>
      </c>
      <c r="L24" s="542">
        <v>1930000</v>
      </c>
      <c r="M24" s="542">
        <f>1750000+180000</f>
        <v>1930000</v>
      </c>
      <c r="N24" s="542"/>
      <c r="O24" s="542"/>
      <c r="P24" s="542" t="s">
        <v>226</v>
      </c>
      <c r="Q24" s="567" t="s">
        <v>226</v>
      </c>
    </row>
    <row r="25" spans="1:17" s="8" customFormat="1" ht="24" customHeight="1" x14ac:dyDescent="0.2">
      <c r="A25" s="54" t="s">
        <v>192</v>
      </c>
      <c r="B25" s="132">
        <v>306</v>
      </c>
      <c r="C25" s="114"/>
      <c r="D25" s="615" t="s">
        <v>943</v>
      </c>
      <c r="E25" s="543"/>
      <c r="F25" s="543"/>
      <c r="G25" s="543"/>
      <c r="H25" s="543"/>
      <c r="I25" s="543"/>
      <c r="J25" s="65"/>
      <c r="K25" s="805">
        <v>840000</v>
      </c>
      <c r="L25" s="543">
        <v>840000</v>
      </c>
      <c r="M25" s="543">
        <v>840000</v>
      </c>
      <c r="N25" s="543"/>
      <c r="O25" s="543"/>
      <c r="P25" s="543" t="s">
        <v>226</v>
      </c>
      <c r="Q25" s="65" t="s">
        <v>226</v>
      </c>
    </row>
    <row r="26" spans="1:17" s="8" customFormat="1" ht="24" customHeight="1" x14ac:dyDescent="0.2">
      <c r="A26" s="54" t="s">
        <v>193</v>
      </c>
      <c r="B26" s="132">
        <v>306</v>
      </c>
      <c r="C26" s="114"/>
      <c r="D26" s="615" t="s">
        <v>1227</v>
      </c>
      <c r="E26" s="543"/>
      <c r="F26" s="543"/>
      <c r="G26" s="543"/>
      <c r="H26" s="543"/>
      <c r="I26" s="543"/>
      <c r="J26" s="65"/>
      <c r="K26" s="805"/>
      <c r="L26" s="543">
        <v>275000</v>
      </c>
      <c r="M26" s="543">
        <v>275000</v>
      </c>
      <c r="N26" s="543"/>
      <c r="O26" s="543"/>
      <c r="P26" s="543" t="s">
        <v>226</v>
      </c>
      <c r="Q26" s="65" t="s">
        <v>226</v>
      </c>
    </row>
    <row r="27" spans="1:17" s="8" customFormat="1" ht="24" customHeight="1" x14ac:dyDescent="0.2">
      <c r="A27" s="54" t="s">
        <v>194</v>
      </c>
      <c r="B27" s="132">
        <v>306</v>
      </c>
      <c r="C27" s="114"/>
      <c r="D27" s="615" t="s">
        <v>1479</v>
      </c>
      <c r="E27" s="543"/>
      <c r="F27" s="543"/>
      <c r="G27" s="543"/>
      <c r="H27" s="543"/>
      <c r="I27" s="543"/>
      <c r="J27" s="65"/>
      <c r="K27" s="805"/>
      <c r="L27" s="543">
        <v>240000</v>
      </c>
      <c r="M27" s="543">
        <v>240000</v>
      </c>
      <c r="N27" s="543"/>
      <c r="O27" s="543"/>
      <c r="P27" s="543" t="s">
        <v>226</v>
      </c>
      <c r="Q27" s="65" t="s">
        <v>226</v>
      </c>
    </row>
    <row r="28" spans="1:17" s="8" customFormat="1" ht="24.75" customHeight="1" x14ac:dyDescent="0.2">
      <c r="A28" s="54" t="s">
        <v>195</v>
      </c>
      <c r="B28" s="132">
        <v>306</v>
      </c>
      <c r="C28" s="114"/>
      <c r="D28" s="615" t="s">
        <v>1542</v>
      </c>
      <c r="E28" s="543"/>
      <c r="F28" s="543"/>
      <c r="G28" s="543"/>
      <c r="H28" s="543"/>
      <c r="I28" s="543"/>
      <c r="J28" s="543"/>
      <c r="K28" s="543"/>
      <c r="L28" s="543">
        <v>100000</v>
      </c>
      <c r="M28" s="543">
        <v>100000</v>
      </c>
      <c r="N28" s="543"/>
      <c r="O28" s="543"/>
      <c r="P28" s="543" t="s">
        <v>226</v>
      </c>
      <c r="Q28" s="65" t="s">
        <v>226</v>
      </c>
    </row>
    <row r="29" spans="1:17" s="8" customFormat="1" ht="24.75" customHeight="1" x14ac:dyDescent="0.2">
      <c r="A29" s="54" t="s">
        <v>196</v>
      </c>
      <c r="B29" s="132">
        <v>306</v>
      </c>
      <c r="C29" s="114"/>
      <c r="D29" s="615" t="s">
        <v>2078</v>
      </c>
      <c r="E29" s="543"/>
      <c r="F29" s="543"/>
      <c r="G29" s="543"/>
      <c r="H29" s="543"/>
      <c r="I29" s="543"/>
      <c r="J29" s="543"/>
      <c r="K29" s="543"/>
      <c r="L29" s="543">
        <v>500000</v>
      </c>
      <c r="M29" s="543">
        <v>500000</v>
      </c>
      <c r="N29" s="543"/>
      <c r="O29" s="543"/>
      <c r="P29" s="543" t="s">
        <v>226</v>
      </c>
      <c r="Q29" s="65" t="s">
        <v>226</v>
      </c>
    </row>
    <row r="30" spans="1:17" s="8" customFormat="1" ht="31.5" customHeight="1" x14ac:dyDescent="0.2">
      <c r="A30" s="54" t="s">
        <v>197</v>
      </c>
      <c r="B30" s="132">
        <v>306</v>
      </c>
      <c r="C30" s="114"/>
      <c r="D30" s="615" t="s">
        <v>2079</v>
      </c>
      <c r="E30" s="543"/>
      <c r="F30" s="543"/>
      <c r="G30" s="543"/>
      <c r="H30" s="543"/>
      <c r="I30" s="543"/>
      <c r="J30" s="543"/>
      <c r="K30" s="543"/>
      <c r="L30" s="543">
        <v>110000</v>
      </c>
      <c r="M30" s="543">
        <v>110000</v>
      </c>
      <c r="N30" s="543"/>
      <c r="O30" s="543"/>
      <c r="P30" s="543" t="s">
        <v>226</v>
      </c>
      <c r="Q30" s="65" t="s">
        <v>226</v>
      </c>
    </row>
    <row r="31" spans="1:17" s="8" customFormat="1" ht="31.5" customHeight="1" x14ac:dyDescent="0.2">
      <c r="A31" s="54" t="s">
        <v>198</v>
      </c>
      <c r="B31" s="132">
        <v>306</v>
      </c>
      <c r="C31" s="114"/>
      <c r="D31" s="615" t="s">
        <v>2155</v>
      </c>
      <c r="E31" s="543"/>
      <c r="F31" s="543"/>
      <c r="G31" s="543"/>
      <c r="H31" s="543"/>
      <c r="I31" s="543"/>
      <c r="J31" s="844"/>
      <c r="K31" s="805"/>
      <c r="L31" s="543">
        <v>200000</v>
      </c>
      <c r="M31" s="543">
        <v>200000</v>
      </c>
      <c r="N31" s="543"/>
      <c r="O31" s="543"/>
      <c r="P31" s="543" t="s">
        <v>226</v>
      </c>
      <c r="Q31" s="65" t="s">
        <v>226</v>
      </c>
    </row>
    <row r="32" spans="1:17" s="870" customFormat="1" ht="31.5" customHeight="1" x14ac:dyDescent="0.2">
      <c r="A32" s="864" t="s">
        <v>199</v>
      </c>
      <c r="B32" s="865">
        <v>306</v>
      </c>
      <c r="C32" s="866"/>
      <c r="D32" s="871" t="s">
        <v>2156</v>
      </c>
      <c r="E32" s="863"/>
      <c r="F32" s="863"/>
      <c r="G32" s="863"/>
      <c r="H32" s="863"/>
      <c r="I32" s="863"/>
      <c r="J32" s="872"/>
      <c r="K32" s="869"/>
      <c r="L32" s="863">
        <v>100000</v>
      </c>
      <c r="M32" s="863"/>
      <c r="N32" s="863"/>
      <c r="O32" s="863"/>
      <c r="P32" s="863" t="s">
        <v>226</v>
      </c>
      <c r="Q32" s="868" t="s">
        <v>226</v>
      </c>
    </row>
    <row r="33" spans="1:17" s="8" customFormat="1" ht="24" customHeight="1" x14ac:dyDescent="0.2">
      <c r="A33" s="1134" t="s">
        <v>126</v>
      </c>
      <c r="B33" s="1135"/>
      <c r="C33" s="1135"/>
      <c r="D33" s="273" t="s">
        <v>1072</v>
      </c>
      <c r="E33" s="116">
        <f>SUM(E34)</f>
        <v>1811551</v>
      </c>
      <c r="F33" s="116">
        <f>SUM(F34)</f>
        <v>0</v>
      </c>
      <c r="G33" s="116"/>
      <c r="H33" s="116">
        <f t="shared" ref="H33:O33" si="7">SUM(H34)</f>
        <v>0</v>
      </c>
      <c r="I33" s="116">
        <f t="shared" si="7"/>
        <v>0</v>
      </c>
      <c r="J33" s="274"/>
      <c r="K33" s="808">
        <f t="shared" si="7"/>
        <v>0</v>
      </c>
      <c r="L33" s="116">
        <f t="shared" si="7"/>
        <v>0</v>
      </c>
      <c r="M33" s="116"/>
      <c r="N33" s="116">
        <f t="shared" si="7"/>
        <v>0</v>
      </c>
      <c r="O33" s="116">
        <f t="shared" si="7"/>
        <v>0</v>
      </c>
      <c r="P33" s="116"/>
      <c r="Q33" s="274"/>
    </row>
    <row r="34" spans="1:17" s="8" customFormat="1" ht="34.5" customHeight="1" x14ac:dyDescent="0.2">
      <c r="A34" s="689" t="s">
        <v>191</v>
      </c>
      <c r="B34" s="572">
        <v>126</v>
      </c>
      <c r="C34" s="690"/>
      <c r="D34" s="604" t="s">
        <v>1035</v>
      </c>
      <c r="E34" s="354">
        <v>1811551</v>
      </c>
      <c r="F34" s="354"/>
      <c r="G34" s="354"/>
      <c r="H34" s="354"/>
      <c r="I34" s="354"/>
      <c r="J34" s="117"/>
      <c r="K34" s="780"/>
      <c r="L34" s="354"/>
      <c r="M34" s="354"/>
      <c r="N34" s="354"/>
      <c r="O34" s="354"/>
      <c r="P34" s="354" t="s">
        <v>225</v>
      </c>
      <c r="Q34" s="117" t="s">
        <v>225</v>
      </c>
    </row>
    <row r="35" spans="1:17" s="8" customFormat="1" ht="27" customHeight="1" x14ac:dyDescent="0.2">
      <c r="A35" s="1134" t="s">
        <v>909</v>
      </c>
      <c r="B35" s="1135"/>
      <c r="C35" s="1135"/>
      <c r="D35" s="273" t="s">
        <v>1073</v>
      </c>
      <c r="E35" s="116">
        <f>SUM(E36:E37)</f>
        <v>210500</v>
      </c>
      <c r="F35" s="116">
        <f>SUM(F36:F40)</f>
        <v>1390500</v>
      </c>
      <c r="G35" s="116">
        <f>SUM(G36:G40)</f>
        <v>1390500</v>
      </c>
      <c r="H35" s="116">
        <f t="shared" ref="H35:O35" si="8">SUM(H36:H37)</f>
        <v>0</v>
      </c>
      <c r="I35" s="116">
        <f t="shared" si="8"/>
        <v>0</v>
      </c>
      <c r="J35" s="274"/>
      <c r="K35" s="808">
        <f t="shared" si="8"/>
        <v>0</v>
      </c>
      <c r="L35" s="116">
        <f t="shared" si="8"/>
        <v>0</v>
      </c>
      <c r="M35" s="116"/>
      <c r="N35" s="116">
        <f t="shared" si="8"/>
        <v>0</v>
      </c>
      <c r="O35" s="116">
        <f t="shared" si="8"/>
        <v>0</v>
      </c>
      <c r="P35" s="116"/>
      <c r="Q35" s="274"/>
    </row>
    <row r="36" spans="1:17" s="8" customFormat="1" ht="27" customHeight="1" x14ac:dyDescent="0.2">
      <c r="A36" s="53" t="s">
        <v>191</v>
      </c>
      <c r="B36" s="147">
        <v>317</v>
      </c>
      <c r="C36" s="272"/>
      <c r="D36" s="275" t="s">
        <v>1209</v>
      </c>
      <c r="E36" s="542">
        <v>210500</v>
      </c>
      <c r="F36" s="542">
        <f>210500+240000</f>
        <v>450500</v>
      </c>
      <c r="G36" s="542">
        <f>210500+240000</f>
        <v>450500</v>
      </c>
      <c r="H36" s="542"/>
      <c r="I36" s="542"/>
      <c r="J36" s="567"/>
      <c r="K36" s="804"/>
      <c r="L36" s="542"/>
      <c r="M36" s="542"/>
      <c r="N36" s="542"/>
      <c r="O36" s="542"/>
      <c r="P36" s="542" t="s">
        <v>226</v>
      </c>
      <c r="Q36" s="567" t="s">
        <v>226</v>
      </c>
    </row>
    <row r="37" spans="1:17" s="8" customFormat="1" ht="27" customHeight="1" x14ac:dyDescent="0.2">
      <c r="A37" s="54" t="s">
        <v>192</v>
      </c>
      <c r="B37" s="132">
        <v>317</v>
      </c>
      <c r="C37" s="114"/>
      <c r="D37" s="145" t="s">
        <v>1208</v>
      </c>
      <c r="E37" s="543">
        <v>0</v>
      </c>
      <c r="F37" s="543">
        <f>275000-275000+275000</f>
        <v>275000</v>
      </c>
      <c r="G37" s="543">
        <v>275000</v>
      </c>
      <c r="H37" s="543"/>
      <c r="I37" s="543"/>
      <c r="J37" s="65"/>
      <c r="K37" s="805"/>
      <c r="L37" s="543"/>
      <c r="M37" s="543"/>
      <c r="N37" s="543"/>
      <c r="O37" s="543"/>
      <c r="P37" s="543" t="s">
        <v>226</v>
      </c>
      <c r="Q37" s="65" t="s">
        <v>226</v>
      </c>
    </row>
    <row r="38" spans="1:17" s="8" customFormat="1" ht="27" customHeight="1" x14ac:dyDescent="0.2">
      <c r="A38" s="54" t="s">
        <v>193</v>
      </c>
      <c r="B38" s="132">
        <v>317</v>
      </c>
      <c r="C38" s="114"/>
      <c r="D38" s="145" t="s">
        <v>1262</v>
      </c>
      <c r="E38" s="543">
        <v>0</v>
      </c>
      <c r="F38" s="543">
        <v>200000</v>
      </c>
      <c r="G38" s="543">
        <v>200000</v>
      </c>
      <c r="H38" s="543"/>
      <c r="I38" s="543"/>
      <c r="J38" s="65"/>
      <c r="K38" s="805"/>
      <c r="L38" s="543"/>
      <c r="M38" s="543"/>
      <c r="N38" s="543"/>
      <c r="O38" s="543"/>
      <c r="P38" s="543" t="s">
        <v>226</v>
      </c>
      <c r="Q38" s="65" t="s">
        <v>226</v>
      </c>
    </row>
    <row r="39" spans="1:17" s="8" customFormat="1" ht="27" customHeight="1" x14ac:dyDescent="0.2">
      <c r="A39" s="54" t="s">
        <v>194</v>
      </c>
      <c r="B39" s="132">
        <v>317</v>
      </c>
      <c r="C39" s="114"/>
      <c r="D39" s="145" t="s">
        <v>1261</v>
      </c>
      <c r="E39" s="543">
        <v>0</v>
      </c>
      <c r="F39" s="543">
        <v>290000</v>
      </c>
      <c r="G39" s="543">
        <v>290000</v>
      </c>
      <c r="H39" s="543"/>
      <c r="I39" s="543"/>
      <c r="J39" s="65"/>
      <c r="K39" s="805"/>
      <c r="L39" s="543"/>
      <c r="M39" s="543"/>
      <c r="N39" s="543"/>
      <c r="O39" s="543"/>
      <c r="P39" s="543" t="s">
        <v>226</v>
      </c>
      <c r="Q39" s="65" t="s">
        <v>226</v>
      </c>
    </row>
    <row r="40" spans="1:17" s="870" customFormat="1" ht="27" customHeight="1" x14ac:dyDescent="0.2">
      <c r="A40" s="864" t="s">
        <v>195</v>
      </c>
      <c r="B40" s="865">
        <v>317</v>
      </c>
      <c r="C40" s="866"/>
      <c r="D40" s="867" t="s">
        <v>1263</v>
      </c>
      <c r="E40" s="863">
        <v>0</v>
      </c>
      <c r="F40" s="863">
        <v>175000</v>
      </c>
      <c r="G40" s="863">
        <f>245000-70000</f>
        <v>175000</v>
      </c>
      <c r="H40" s="863"/>
      <c r="I40" s="863"/>
      <c r="J40" s="868"/>
      <c r="K40" s="869"/>
      <c r="L40" s="863"/>
      <c r="M40" s="863"/>
      <c r="N40" s="863"/>
      <c r="O40" s="863"/>
      <c r="P40" s="863" t="s">
        <v>226</v>
      </c>
      <c r="Q40" s="868" t="s">
        <v>226</v>
      </c>
    </row>
    <row r="41" spans="1:17" s="8" customFormat="1" ht="27" customHeight="1" x14ac:dyDescent="0.2">
      <c r="A41" s="1134" t="s">
        <v>76</v>
      </c>
      <c r="B41" s="1135"/>
      <c r="C41" s="1135"/>
      <c r="D41" s="273" t="s">
        <v>1214</v>
      </c>
      <c r="E41" s="116">
        <f>SUM(E42)</f>
        <v>0</v>
      </c>
      <c r="F41" s="116">
        <f>SUM(F42)</f>
        <v>0</v>
      </c>
      <c r="G41" s="116"/>
      <c r="H41" s="116">
        <f>SUM(H42)</f>
        <v>0</v>
      </c>
      <c r="I41" s="116">
        <f>SUM(I42)</f>
        <v>0</v>
      </c>
      <c r="J41" s="274"/>
      <c r="K41" s="808">
        <f>SUM(K42)</f>
        <v>0</v>
      </c>
      <c r="L41" s="116">
        <f>SUM(L42:L48)</f>
        <v>2500000</v>
      </c>
      <c r="M41" s="116">
        <f>SUM(M42:M48)</f>
        <v>2500000</v>
      </c>
      <c r="N41" s="116">
        <f>SUM(N42)</f>
        <v>0</v>
      </c>
      <c r="O41" s="116">
        <f>SUM(O42)</f>
        <v>0</v>
      </c>
      <c r="P41" s="116"/>
      <c r="Q41" s="274"/>
    </row>
    <row r="42" spans="1:17" s="8" customFormat="1" ht="27" customHeight="1" x14ac:dyDescent="0.2">
      <c r="A42" s="53" t="s">
        <v>191</v>
      </c>
      <c r="B42" s="147">
        <v>306</v>
      </c>
      <c r="C42" s="272"/>
      <c r="D42" s="275" t="s">
        <v>1410</v>
      </c>
      <c r="E42" s="542"/>
      <c r="F42" s="542"/>
      <c r="G42" s="542"/>
      <c r="H42" s="542"/>
      <c r="I42" s="542"/>
      <c r="J42" s="567"/>
      <c r="K42" s="804"/>
      <c r="L42" s="542">
        <v>700000</v>
      </c>
      <c r="M42" s="542">
        <v>700000</v>
      </c>
      <c r="N42" s="542"/>
      <c r="O42" s="542"/>
      <c r="P42" s="542" t="s">
        <v>226</v>
      </c>
      <c r="Q42" s="567" t="s">
        <v>226</v>
      </c>
    </row>
    <row r="43" spans="1:17" s="8" customFormat="1" ht="27" customHeight="1" x14ac:dyDescent="0.2">
      <c r="A43" s="54" t="s">
        <v>192</v>
      </c>
      <c r="B43" s="132">
        <v>306</v>
      </c>
      <c r="C43" s="114"/>
      <c r="D43" s="145" t="s">
        <v>1421</v>
      </c>
      <c r="E43" s="543"/>
      <c r="F43" s="543"/>
      <c r="G43" s="543"/>
      <c r="H43" s="543"/>
      <c r="I43" s="543"/>
      <c r="J43" s="543"/>
      <c r="K43" s="543"/>
      <c r="L43" s="543">
        <v>500000</v>
      </c>
      <c r="M43" s="543">
        <v>500000</v>
      </c>
      <c r="N43" s="543"/>
      <c r="O43" s="543"/>
      <c r="P43" s="543" t="s">
        <v>226</v>
      </c>
      <c r="Q43" s="65" t="s">
        <v>226</v>
      </c>
    </row>
    <row r="44" spans="1:17" s="8" customFormat="1" ht="27" customHeight="1" x14ac:dyDescent="0.2">
      <c r="A44" s="54" t="s">
        <v>193</v>
      </c>
      <c r="B44" s="132">
        <v>306</v>
      </c>
      <c r="C44" s="114"/>
      <c r="D44" s="145" t="s">
        <v>2080</v>
      </c>
      <c r="E44" s="543"/>
      <c r="F44" s="543"/>
      <c r="G44" s="543"/>
      <c r="H44" s="543"/>
      <c r="I44" s="543"/>
      <c r="J44" s="543"/>
      <c r="K44" s="543"/>
      <c r="L44" s="543">
        <v>750000</v>
      </c>
      <c r="M44" s="543">
        <v>750000</v>
      </c>
      <c r="N44" s="543"/>
      <c r="O44" s="543"/>
      <c r="P44" s="543" t="s">
        <v>226</v>
      </c>
      <c r="Q44" s="65" t="s">
        <v>226</v>
      </c>
    </row>
    <row r="45" spans="1:17" s="8" customFormat="1" ht="30.75" customHeight="1" x14ac:dyDescent="0.2">
      <c r="A45" s="54" t="s">
        <v>194</v>
      </c>
      <c r="B45" s="132">
        <v>306</v>
      </c>
      <c r="C45" s="114"/>
      <c r="D45" s="145" t="s">
        <v>2081</v>
      </c>
      <c r="E45" s="543"/>
      <c r="F45" s="543"/>
      <c r="G45" s="543"/>
      <c r="H45" s="543"/>
      <c r="I45" s="543"/>
      <c r="J45" s="543"/>
      <c r="K45" s="543"/>
      <c r="L45" s="543">
        <v>250000</v>
      </c>
      <c r="M45" s="543">
        <v>250000</v>
      </c>
      <c r="N45" s="543"/>
      <c r="O45" s="543"/>
      <c r="P45" s="543" t="s">
        <v>226</v>
      </c>
      <c r="Q45" s="65" t="s">
        <v>226</v>
      </c>
    </row>
    <row r="46" spans="1:17" s="8" customFormat="1" ht="29.25" customHeight="1" x14ac:dyDescent="0.2">
      <c r="A46" s="54" t="s">
        <v>195</v>
      </c>
      <c r="B46" s="132">
        <v>306</v>
      </c>
      <c r="C46" s="114"/>
      <c r="D46" s="145" t="s">
        <v>2082</v>
      </c>
      <c r="E46" s="543"/>
      <c r="F46" s="543"/>
      <c r="G46" s="543"/>
      <c r="H46" s="543"/>
      <c r="I46" s="543"/>
      <c r="J46" s="543"/>
      <c r="K46" s="543"/>
      <c r="L46" s="543">
        <v>0</v>
      </c>
      <c r="M46" s="543"/>
      <c r="N46" s="543"/>
      <c r="O46" s="543"/>
      <c r="P46" s="543" t="s">
        <v>226</v>
      </c>
      <c r="Q46" s="65" t="s">
        <v>226</v>
      </c>
    </row>
    <row r="47" spans="1:17" s="8" customFormat="1" ht="27" customHeight="1" x14ac:dyDescent="0.2">
      <c r="A47" s="54" t="s">
        <v>196</v>
      </c>
      <c r="B47" s="132">
        <v>306</v>
      </c>
      <c r="C47" s="114"/>
      <c r="D47" s="145" t="s">
        <v>2083</v>
      </c>
      <c r="E47" s="543"/>
      <c r="F47" s="543"/>
      <c r="G47" s="543"/>
      <c r="H47" s="543"/>
      <c r="I47" s="543"/>
      <c r="J47" s="543"/>
      <c r="K47" s="543"/>
      <c r="L47" s="543">
        <v>200000</v>
      </c>
      <c r="M47" s="543">
        <v>200000</v>
      </c>
      <c r="N47" s="543"/>
      <c r="O47" s="543"/>
      <c r="P47" s="543" t="s">
        <v>226</v>
      </c>
      <c r="Q47" s="65" t="s">
        <v>226</v>
      </c>
    </row>
    <row r="48" spans="1:17" s="8" customFormat="1" ht="27" customHeight="1" x14ac:dyDescent="0.2">
      <c r="A48" s="138" t="s">
        <v>197</v>
      </c>
      <c r="B48" s="324">
        <v>306</v>
      </c>
      <c r="C48" s="144"/>
      <c r="D48" s="409" t="s">
        <v>2157</v>
      </c>
      <c r="E48" s="282"/>
      <c r="F48" s="282"/>
      <c r="G48" s="282"/>
      <c r="H48" s="282"/>
      <c r="I48" s="282"/>
      <c r="J48" s="845"/>
      <c r="K48" s="806"/>
      <c r="L48" s="282">
        <v>100000</v>
      </c>
      <c r="M48" s="282">
        <v>100000</v>
      </c>
      <c r="N48" s="282"/>
      <c r="O48" s="282"/>
      <c r="P48" s="282" t="s">
        <v>226</v>
      </c>
      <c r="Q48" s="585" t="s">
        <v>226</v>
      </c>
    </row>
    <row r="49" spans="1:17" s="8" customFormat="1" ht="27" customHeight="1" x14ac:dyDescent="0.2">
      <c r="A49" s="1134" t="s">
        <v>127</v>
      </c>
      <c r="B49" s="1135"/>
      <c r="C49" s="1135"/>
      <c r="D49" s="273" t="s">
        <v>1243</v>
      </c>
      <c r="E49" s="116">
        <f>SUM(E50)</f>
        <v>0</v>
      </c>
      <c r="F49" s="116">
        <f>SUM(F50)</f>
        <v>0</v>
      </c>
      <c r="G49" s="116"/>
      <c r="H49" s="116">
        <f>SUM(H50)</f>
        <v>0</v>
      </c>
      <c r="I49" s="116">
        <f>SUM(I50)</f>
        <v>0</v>
      </c>
      <c r="J49" s="274"/>
      <c r="K49" s="808">
        <f>SUM(K50)</f>
        <v>0</v>
      </c>
      <c r="L49" s="116">
        <f>SUM(L50:L52)</f>
        <v>3975000</v>
      </c>
      <c r="M49" s="116">
        <f>SUM(M50:M52)</f>
        <v>3975000</v>
      </c>
      <c r="N49" s="116">
        <f>SUM(N50)</f>
        <v>0</v>
      </c>
      <c r="O49" s="116">
        <f>SUM(O50)</f>
        <v>0</v>
      </c>
      <c r="P49" s="116"/>
      <c r="Q49" s="274"/>
    </row>
    <row r="50" spans="1:17" s="8" customFormat="1" ht="33.75" customHeight="1" x14ac:dyDescent="0.2">
      <c r="A50" s="53" t="s">
        <v>191</v>
      </c>
      <c r="B50" s="147">
        <v>308</v>
      </c>
      <c r="C50" s="272"/>
      <c r="D50" s="275" t="s">
        <v>1422</v>
      </c>
      <c r="E50" s="542"/>
      <c r="F50" s="542"/>
      <c r="G50" s="542"/>
      <c r="H50" s="542"/>
      <c r="I50" s="542"/>
      <c r="J50" s="567"/>
      <c r="K50" s="804"/>
      <c r="L50" s="542">
        <v>3175000</v>
      </c>
      <c r="M50" s="542">
        <v>3175000</v>
      </c>
      <c r="N50" s="542"/>
      <c r="O50" s="542"/>
      <c r="P50" s="542" t="s">
        <v>226</v>
      </c>
      <c r="Q50" s="567" t="s">
        <v>226</v>
      </c>
    </row>
    <row r="51" spans="1:17" s="8" customFormat="1" ht="30" customHeight="1" x14ac:dyDescent="0.2">
      <c r="A51" s="54" t="s">
        <v>192</v>
      </c>
      <c r="B51" s="289" t="s">
        <v>1222</v>
      </c>
      <c r="C51" s="114"/>
      <c r="D51" s="145" t="s">
        <v>1541</v>
      </c>
      <c r="E51" s="543"/>
      <c r="F51" s="543"/>
      <c r="G51" s="543"/>
      <c r="H51" s="543"/>
      <c r="I51" s="543"/>
      <c r="J51" s="543"/>
      <c r="K51" s="543"/>
      <c r="L51" s="543">
        <v>600000</v>
      </c>
      <c r="M51" s="543">
        <v>600000</v>
      </c>
      <c r="N51" s="543"/>
      <c r="O51" s="543"/>
      <c r="P51" s="543" t="s">
        <v>226</v>
      </c>
      <c r="Q51" s="65" t="s">
        <v>226</v>
      </c>
    </row>
    <row r="52" spans="1:17" s="8" customFormat="1" ht="31.5" customHeight="1" x14ac:dyDescent="0.2">
      <c r="A52" s="138" t="s">
        <v>193</v>
      </c>
      <c r="B52" s="323" t="s">
        <v>2085</v>
      </c>
      <c r="C52" s="144"/>
      <c r="D52" s="409" t="s">
        <v>2084</v>
      </c>
      <c r="E52" s="282"/>
      <c r="F52" s="282"/>
      <c r="G52" s="282"/>
      <c r="H52" s="282"/>
      <c r="I52" s="282"/>
      <c r="J52" s="282"/>
      <c r="K52" s="282"/>
      <c r="L52" s="282">
        <v>200000</v>
      </c>
      <c r="M52" s="282">
        <v>200000</v>
      </c>
      <c r="N52" s="282"/>
      <c r="O52" s="282"/>
      <c r="P52" s="282" t="s">
        <v>226</v>
      </c>
      <c r="Q52" s="585" t="s">
        <v>226</v>
      </c>
    </row>
    <row r="53" spans="1:17" s="8" customFormat="1" ht="31.5" customHeight="1" x14ac:dyDescent="0.2">
      <c r="A53" s="1134" t="s">
        <v>1264</v>
      </c>
      <c r="B53" s="1135"/>
      <c r="C53" s="1135"/>
      <c r="D53" s="829" t="s">
        <v>2158</v>
      </c>
      <c r="E53" s="354">
        <f>SUM(E54)</f>
        <v>0</v>
      </c>
      <c r="F53" s="354">
        <f t="shared" ref="F53:O53" si="9">SUM(F54)</f>
        <v>0</v>
      </c>
      <c r="G53" s="354">
        <f t="shared" si="9"/>
        <v>0</v>
      </c>
      <c r="H53" s="354">
        <f t="shared" si="9"/>
        <v>0</v>
      </c>
      <c r="I53" s="354">
        <f t="shared" si="9"/>
        <v>0</v>
      </c>
      <c r="J53" s="354">
        <f t="shared" si="9"/>
        <v>0</v>
      </c>
      <c r="K53" s="354">
        <f t="shared" si="9"/>
        <v>0</v>
      </c>
      <c r="L53" s="116">
        <f t="shared" si="9"/>
        <v>34006</v>
      </c>
      <c r="M53" s="354">
        <f t="shared" si="9"/>
        <v>34006</v>
      </c>
      <c r="N53" s="354">
        <f t="shared" si="9"/>
        <v>0</v>
      </c>
      <c r="O53" s="354">
        <f t="shared" si="9"/>
        <v>0</v>
      </c>
      <c r="P53" s="354"/>
      <c r="Q53" s="117"/>
    </row>
    <row r="54" spans="1:17" s="8" customFormat="1" ht="31.5" customHeight="1" x14ac:dyDescent="0.2">
      <c r="A54" s="689" t="s">
        <v>191</v>
      </c>
      <c r="B54" s="606" t="s">
        <v>2159</v>
      </c>
      <c r="C54" s="690"/>
      <c r="D54" s="353" t="s">
        <v>2160</v>
      </c>
      <c r="E54" s="354"/>
      <c r="F54" s="354"/>
      <c r="G54" s="354"/>
      <c r="H54" s="354"/>
      <c r="I54" s="354"/>
      <c r="J54" s="354"/>
      <c r="K54" s="354"/>
      <c r="L54" s="354">
        <v>34006</v>
      </c>
      <c r="M54" s="354">
        <v>34006</v>
      </c>
      <c r="N54" s="354"/>
      <c r="O54" s="354"/>
      <c r="P54" s="354" t="s">
        <v>226</v>
      </c>
      <c r="Q54" s="117" t="s">
        <v>226</v>
      </c>
    </row>
    <row r="55" spans="1:17" s="8" customFormat="1" ht="19.5" customHeight="1" x14ac:dyDescent="0.2">
      <c r="A55" s="1150" t="s">
        <v>1265</v>
      </c>
      <c r="B55" s="1151"/>
      <c r="C55" s="1151"/>
      <c r="D55" s="1151"/>
      <c r="E55" s="1151"/>
      <c r="F55" s="1151"/>
      <c r="G55" s="1151"/>
      <c r="H55" s="1151"/>
      <c r="I55" s="1151"/>
      <c r="J55" s="1151"/>
      <c r="K55" s="1151"/>
      <c r="L55" s="1151"/>
      <c r="M55" s="1151"/>
      <c r="N55" s="1151"/>
      <c r="O55" s="1151"/>
      <c r="P55" s="1151"/>
      <c r="Q55" s="1152"/>
    </row>
    <row r="56" spans="1:17" s="8" customFormat="1" ht="19.5" customHeight="1" x14ac:dyDescent="0.2">
      <c r="A56" s="1153"/>
      <c r="B56" s="1154"/>
      <c r="C56" s="1154"/>
      <c r="D56" s="1154"/>
      <c r="E56" s="1154"/>
      <c r="F56" s="1154"/>
      <c r="G56" s="1154"/>
      <c r="H56" s="1154"/>
      <c r="I56" s="1154"/>
      <c r="J56" s="1154"/>
      <c r="K56" s="1154"/>
      <c r="L56" s="1154"/>
      <c r="M56" s="1154"/>
      <c r="N56" s="1154"/>
      <c r="O56" s="1154"/>
      <c r="P56" s="1154"/>
      <c r="Q56" s="1155"/>
    </row>
    <row r="57" spans="1:17" s="8" customFormat="1" ht="28.5" customHeight="1" x14ac:dyDescent="0.2">
      <c r="A57" s="1169" t="s">
        <v>53</v>
      </c>
      <c r="B57" s="1171" t="s">
        <v>647</v>
      </c>
      <c r="C57" s="1173" t="s">
        <v>1</v>
      </c>
      <c r="D57" s="1175" t="s">
        <v>2</v>
      </c>
      <c r="E57" s="385" t="s">
        <v>274</v>
      </c>
      <c r="F57" s="385" t="s">
        <v>1074</v>
      </c>
      <c r="G57" s="397" t="s">
        <v>1546</v>
      </c>
      <c r="H57" s="731" t="s">
        <v>274</v>
      </c>
      <c r="I57" s="385" t="s">
        <v>1074</v>
      </c>
      <c r="J57" s="397" t="s">
        <v>1546</v>
      </c>
      <c r="K57" s="686" t="s">
        <v>274</v>
      </c>
      <c r="L57" s="385" t="s">
        <v>1074</v>
      </c>
      <c r="M57" s="397" t="s">
        <v>1546</v>
      </c>
      <c r="N57" s="686" t="s">
        <v>274</v>
      </c>
      <c r="O57" s="397" t="s">
        <v>1074</v>
      </c>
      <c r="P57" s="686" t="s">
        <v>274</v>
      </c>
      <c r="Q57" s="603" t="s">
        <v>1074</v>
      </c>
    </row>
    <row r="58" spans="1:17" s="8" customFormat="1" ht="75" customHeight="1" x14ac:dyDescent="0.2">
      <c r="A58" s="1170"/>
      <c r="B58" s="1172"/>
      <c r="C58" s="1174"/>
      <c r="D58" s="1176"/>
      <c r="E58" s="1162" t="s">
        <v>68</v>
      </c>
      <c r="F58" s="1122"/>
      <c r="G58" s="1123"/>
      <c r="H58" s="1121" t="s">
        <v>691</v>
      </c>
      <c r="I58" s="1122"/>
      <c r="J58" s="1123"/>
      <c r="K58" s="1122" t="s">
        <v>64</v>
      </c>
      <c r="L58" s="1122"/>
      <c r="M58" s="1123"/>
      <c r="N58" s="1191" t="s">
        <v>764</v>
      </c>
      <c r="O58" s="1191"/>
      <c r="P58" s="731" t="s">
        <v>11</v>
      </c>
      <c r="Q58" s="397" t="s">
        <v>11</v>
      </c>
    </row>
    <row r="59" spans="1:17" s="8" customFormat="1" ht="20.25" customHeight="1" x14ac:dyDescent="0.2">
      <c r="A59" s="1166" t="s">
        <v>55</v>
      </c>
      <c r="B59" s="1167"/>
      <c r="C59" s="1167"/>
      <c r="D59" s="1167"/>
      <c r="E59" s="1158" t="s">
        <v>77</v>
      </c>
      <c r="F59" s="1158"/>
      <c r="G59" s="1158"/>
      <c r="H59" s="1158" t="s">
        <v>692</v>
      </c>
      <c r="I59" s="1158"/>
      <c r="J59" s="1159"/>
      <c r="K59" s="1160" t="s">
        <v>385</v>
      </c>
      <c r="L59" s="1161"/>
      <c r="M59" s="1161"/>
      <c r="N59" s="740"/>
      <c r="O59" s="740"/>
      <c r="P59" s="740"/>
      <c r="Q59" s="741"/>
    </row>
    <row r="60" spans="1:17" s="8" customFormat="1" ht="28.5" customHeight="1" x14ac:dyDescent="0.2">
      <c r="A60" s="1168" t="s">
        <v>76</v>
      </c>
      <c r="B60" s="1139"/>
      <c r="C60" s="1139"/>
      <c r="D60" s="573" t="s">
        <v>1266</v>
      </c>
      <c r="E60" s="41">
        <f t="shared" ref="E60:O60" si="10">SUM(E61:E68)</f>
        <v>0</v>
      </c>
      <c r="F60" s="41">
        <f t="shared" si="10"/>
        <v>0</v>
      </c>
      <c r="G60" s="41"/>
      <c r="H60" s="41">
        <f t="shared" si="10"/>
        <v>0</v>
      </c>
      <c r="I60" s="41">
        <f t="shared" si="10"/>
        <v>0</v>
      </c>
      <c r="J60" s="42"/>
      <c r="K60" s="803">
        <f t="shared" si="10"/>
        <v>0</v>
      </c>
      <c r="L60" s="41">
        <f t="shared" si="10"/>
        <v>2505000</v>
      </c>
      <c r="M60" s="41">
        <f t="shared" si="10"/>
        <v>2505000</v>
      </c>
      <c r="N60" s="41">
        <f t="shared" si="10"/>
        <v>0</v>
      </c>
      <c r="O60" s="41">
        <f t="shared" si="10"/>
        <v>0</v>
      </c>
      <c r="P60" s="41"/>
      <c r="Q60" s="117"/>
    </row>
    <row r="61" spans="1:17" s="8" customFormat="1" ht="28.5" customHeight="1" x14ac:dyDescent="0.2">
      <c r="A61" s="574" t="s">
        <v>191</v>
      </c>
      <c r="B61" s="147">
        <v>306</v>
      </c>
      <c r="C61" s="272"/>
      <c r="D61" s="272" t="s">
        <v>1267</v>
      </c>
      <c r="E61" s="542"/>
      <c r="F61" s="542"/>
      <c r="G61" s="542"/>
      <c r="H61" s="542"/>
      <c r="I61" s="542"/>
      <c r="J61" s="567"/>
      <c r="K61" s="804"/>
      <c r="L61" s="542">
        <v>400000</v>
      </c>
      <c r="M61" s="542">
        <v>400000</v>
      </c>
      <c r="N61" s="542"/>
      <c r="O61" s="542"/>
      <c r="P61" s="542" t="s">
        <v>226</v>
      </c>
      <c r="Q61" s="567" t="s">
        <v>226</v>
      </c>
    </row>
    <row r="62" spans="1:17" s="8" customFormat="1" ht="28.5" customHeight="1" x14ac:dyDescent="0.2">
      <c r="A62" s="54" t="s">
        <v>192</v>
      </c>
      <c r="B62" s="132">
        <v>306</v>
      </c>
      <c r="C62" s="114"/>
      <c r="D62" s="114" t="s">
        <v>1268</v>
      </c>
      <c r="E62" s="543"/>
      <c r="F62" s="543"/>
      <c r="G62" s="543"/>
      <c r="H62" s="543"/>
      <c r="I62" s="543"/>
      <c r="J62" s="65"/>
      <c r="K62" s="805"/>
      <c r="L62" s="543">
        <v>180000</v>
      </c>
      <c r="M62" s="543">
        <v>180000</v>
      </c>
      <c r="N62" s="543"/>
      <c r="O62" s="543"/>
      <c r="P62" s="543" t="s">
        <v>226</v>
      </c>
      <c r="Q62" s="65" t="s">
        <v>226</v>
      </c>
    </row>
    <row r="63" spans="1:17" s="8" customFormat="1" ht="28.5" customHeight="1" x14ac:dyDescent="0.2">
      <c r="A63" s="54" t="s">
        <v>193</v>
      </c>
      <c r="B63" s="132">
        <v>306</v>
      </c>
      <c r="C63" s="114"/>
      <c r="D63" s="114" t="s">
        <v>1269</v>
      </c>
      <c r="E63" s="543"/>
      <c r="F63" s="543"/>
      <c r="G63" s="543"/>
      <c r="H63" s="543"/>
      <c r="I63" s="543"/>
      <c r="J63" s="65"/>
      <c r="K63" s="805"/>
      <c r="L63" s="543">
        <v>300000</v>
      </c>
      <c r="M63" s="543">
        <v>300000</v>
      </c>
      <c r="N63" s="543"/>
      <c r="O63" s="543"/>
      <c r="P63" s="543" t="s">
        <v>226</v>
      </c>
      <c r="Q63" s="65" t="s">
        <v>226</v>
      </c>
    </row>
    <row r="64" spans="1:17" s="8" customFormat="1" ht="28.5" customHeight="1" x14ac:dyDescent="0.2">
      <c r="A64" s="54" t="s">
        <v>194</v>
      </c>
      <c r="B64" s="132">
        <v>306</v>
      </c>
      <c r="C64" s="114"/>
      <c r="D64" s="145" t="s">
        <v>1270</v>
      </c>
      <c r="E64" s="543"/>
      <c r="F64" s="543"/>
      <c r="G64" s="543"/>
      <c r="H64" s="543"/>
      <c r="I64" s="543"/>
      <c r="J64" s="65"/>
      <c r="K64" s="805"/>
      <c r="L64" s="543">
        <v>450000</v>
      </c>
      <c r="M64" s="543">
        <v>450000</v>
      </c>
      <c r="N64" s="543"/>
      <c r="O64" s="543"/>
      <c r="P64" s="543" t="s">
        <v>226</v>
      </c>
      <c r="Q64" s="65" t="s">
        <v>226</v>
      </c>
    </row>
    <row r="65" spans="1:17" s="8" customFormat="1" ht="28.5" customHeight="1" x14ac:dyDescent="0.2">
      <c r="A65" s="54" t="s">
        <v>195</v>
      </c>
      <c r="B65" s="132">
        <v>306</v>
      </c>
      <c r="C65" s="114"/>
      <c r="D65" s="114" t="s">
        <v>1271</v>
      </c>
      <c r="E65" s="543"/>
      <c r="F65" s="543"/>
      <c r="G65" s="543"/>
      <c r="H65" s="543"/>
      <c r="I65" s="543"/>
      <c r="J65" s="65"/>
      <c r="K65" s="805"/>
      <c r="L65" s="543">
        <v>150000</v>
      </c>
      <c r="M65" s="543">
        <v>150000</v>
      </c>
      <c r="N65" s="543"/>
      <c r="O65" s="543"/>
      <c r="P65" s="543" t="s">
        <v>226</v>
      </c>
      <c r="Q65" s="65" t="s">
        <v>226</v>
      </c>
    </row>
    <row r="66" spans="1:17" s="8" customFormat="1" ht="28.5" customHeight="1" x14ac:dyDescent="0.2">
      <c r="A66" s="54" t="s">
        <v>196</v>
      </c>
      <c r="B66" s="132">
        <v>306</v>
      </c>
      <c r="C66" s="114"/>
      <c r="D66" s="145" t="s">
        <v>1272</v>
      </c>
      <c r="E66" s="543"/>
      <c r="F66" s="543"/>
      <c r="G66" s="543"/>
      <c r="H66" s="543"/>
      <c r="I66" s="543"/>
      <c r="J66" s="65"/>
      <c r="K66" s="805"/>
      <c r="L66" s="543">
        <v>75000</v>
      </c>
      <c r="M66" s="543">
        <v>75000</v>
      </c>
      <c r="N66" s="543"/>
      <c r="O66" s="543"/>
      <c r="P66" s="543" t="s">
        <v>226</v>
      </c>
      <c r="Q66" s="65" t="s">
        <v>226</v>
      </c>
    </row>
    <row r="67" spans="1:17" s="8" customFormat="1" ht="28.5" customHeight="1" x14ac:dyDescent="0.2">
      <c r="A67" s="54" t="s">
        <v>197</v>
      </c>
      <c r="B67" s="132">
        <v>306</v>
      </c>
      <c r="C67" s="114"/>
      <c r="D67" s="145" t="s">
        <v>1273</v>
      </c>
      <c r="E67" s="543"/>
      <c r="F67" s="543"/>
      <c r="G67" s="543"/>
      <c r="H67" s="543"/>
      <c r="I67" s="543"/>
      <c r="J67" s="65"/>
      <c r="K67" s="805"/>
      <c r="L67" s="543">
        <v>600000</v>
      </c>
      <c r="M67" s="543">
        <v>600000</v>
      </c>
      <c r="N67" s="543"/>
      <c r="O67" s="543"/>
      <c r="P67" s="543" t="s">
        <v>226</v>
      </c>
      <c r="Q67" s="65" t="s">
        <v>226</v>
      </c>
    </row>
    <row r="68" spans="1:17" s="8" customFormat="1" ht="28.5" customHeight="1" x14ac:dyDescent="0.2">
      <c r="A68" s="138" t="s">
        <v>198</v>
      </c>
      <c r="B68" s="324">
        <v>306</v>
      </c>
      <c r="C68" s="144"/>
      <c r="D68" s="409" t="s">
        <v>1274</v>
      </c>
      <c r="E68" s="282"/>
      <c r="F68" s="282"/>
      <c r="G68" s="282"/>
      <c r="H68" s="282"/>
      <c r="I68" s="282"/>
      <c r="J68" s="585"/>
      <c r="K68" s="806"/>
      <c r="L68" s="282">
        <v>350000</v>
      </c>
      <c r="M68" s="282">
        <v>350000</v>
      </c>
      <c r="N68" s="282"/>
      <c r="O68" s="282"/>
      <c r="P68" s="282" t="s">
        <v>226</v>
      </c>
      <c r="Q68" s="585" t="s">
        <v>226</v>
      </c>
    </row>
    <row r="69" spans="1:17" s="8" customFormat="1" ht="28.5" customHeight="1" x14ac:dyDescent="0.2">
      <c r="A69" s="1168" t="s">
        <v>1223</v>
      </c>
      <c r="B69" s="1139"/>
      <c r="C69" s="1139"/>
      <c r="D69" s="573" t="s">
        <v>1275</v>
      </c>
      <c r="E69" s="41">
        <f t="shared" ref="E69:O69" si="11">SUM(E70)</f>
        <v>0</v>
      </c>
      <c r="F69" s="41">
        <f t="shared" si="11"/>
        <v>0</v>
      </c>
      <c r="G69" s="41"/>
      <c r="H69" s="41">
        <f t="shared" si="11"/>
        <v>0</v>
      </c>
      <c r="I69" s="41">
        <f t="shared" si="11"/>
        <v>0</v>
      </c>
      <c r="J69" s="41">
        <f t="shared" si="11"/>
        <v>0</v>
      </c>
      <c r="K69" s="41">
        <f t="shared" si="11"/>
        <v>0</v>
      </c>
      <c r="L69" s="41">
        <f>SUM(L70)</f>
        <v>0</v>
      </c>
      <c r="M69" s="41">
        <f t="shared" si="11"/>
        <v>0</v>
      </c>
      <c r="N69" s="41">
        <f t="shared" si="11"/>
        <v>0</v>
      </c>
      <c r="O69" s="41">
        <f t="shared" si="11"/>
        <v>0</v>
      </c>
      <c r="P69" s="41"/>
      <c r="Q69" s="117"/>
    </row>
    <row r="70" spans="1:17" s="8" customFormat="1" ht="28.5" customHeight="1" x14ac:dyDescent="0.2">
      <c r="A70" s="575" t="s">
        <v>191</v>
      </c>
      <c r="B70" s="576">
        <v>306</v>
      </c>
      <c r="C70" s="403"/>
      <c r="D70" s="398" t="s">
        <v>1276</v>
      </c>
      <c r="E70" s="354"/>
      <c r="F70" s="354"/>
      <c r="G70" s="354"/>
      <c r="H70" s="354"/>
      <c r="I70" s="354"/>
      <c r="J70" s="117"/>
      <c r="K70" s="780"/>
      <c r="L70" s="354">
        <v>0</v>
      </c>
      <c r="M70" s="354"/>
      <c r="N70" s="354"/>
      <c r="O70" s="354"/>
      <c r="P70" s="354" t="s">
        <v>226</v>
      </c>
      <c r="Q70" s="117" t="s">
        <v>226</v>
      </c>
    </row>
    <row r="71" spans="1:17" s="8" customFormat="1" ht="28.5" customHeight="1" x14ac:dyDescent="0.2">
      <c r="A71" s="1168" t="s">
        <v>69</v>
      </c>
      <c r="B71" s="1139"/>
      <c r="C71" s="1139"/>
      <c r="D71" s="573" t="s">
        <v>1068</v>
      </c>
      <c r="E71" s="41">
        <f>SUM(E72:E74)</f>
        <v>0</v>
      </c>
      <c r="F71" s="41">
        <f t="shared" ref="F71:O71" si="12">SUM(F72:F74)</f>
        <v>0</v>
      </c>
      <c r="G71" s="41"/>
      <c r="H71" s="41">
        <f t="shared" si="12"/>
        <v>0</v>
      </c>
      <c r="I71" s="41">
        <f t="shared" si="12"/>
        <v>0</v>
      </c>
      <c r="J71" s="42"/>
      <c r="K71" s="803">
        <f t="shared" si="12"/>
        <v>0</v>
      </c>
      <c r="L71" s="41">
        <f>SUM(L72:L74)</f>
        <v>650000</v>
      </c>
      <c r="M71" s="41">
        <f>SUM(M72:M74)</f>
        <v>650000</v>
      </c>
      <c r="N71" s="41">
        <f t="shared" si="12"/>
        <v>0</v>
      </c>
      <c r="O71" s="41">
        <f t="shared" si="12"/>
        <v>0</v>
      </c>
      <c r="P71" s="41"/>
      <c r="Q71" s="117"/>
    </row>
    <row r="72" spans="1:17" s="8" customFormat="1" ht="28.5" customHeight="1" x14ac:dyDescent="0.2">
      <c r="A72" s="53" t="s">
        <v>191</v>
      </c>
      <c r="B72" s="147">
        <v>306</v>
      </c>
      <c r="C72" s="272"/>
      <c r="D72" s="272" t="s">
        <v>1277</v>
      </c>
      <c r="E72" s="542"/>
      <c r="F72" s="542"/>
      <c r="G72" s="542"/>
      <c r="H72" s="542"/>
      <c r="I72" s="542"/>
      <c r="J72" s="567"/>
      <c r="K72" s="804"/>
      <c r="L72" s="542">
        <v>350000</v>
      </c>
      <c r="M72" s="542">
        <v>350000</v>
      </c>
      <c r="N72" s="542"/>
      <c r="O72" s="542"/>
      <c r="P72" s="542" t="s">
        <v>226</v>
      </c>
      <c r="Q72" s="567" t="s">
        <v>226</v>
      </c>
    </row>
    <row r="73" spans="1:17" s="8" customFormat="1" ht="28.5" customHeight="1" x14ac:dyDescent="0.2">
      <c r="A73" s="54" t="s">
        <v>192</v>
      </c>
      <c r="B73" s="132">
        <v>306</v>
      </c>
      <c r="C73" s="114"/>
      <c r="D73" s="145" t="s">
        <v>1335</v>
      </c>
      <c r="E73" s="543"/>
      <c r="F73" s="543"/>
      <c r="G73" s="543"/>
      <c r="H73" s="543"/>
      <c r="I73" s="543"/>
      <c r="J73" s="65"/>
      <c r="K73" s="805"/>
      <c r="L73" s="543">
        <v>150000</v>
      </c>
      <c r="M73" s="543">
        <v>150000</v>
      </c>
      <c r="N73" s="543"/>
      <c r="O73" s="543"/>
      <c r="P73" s="543" t="s">
        <v>226</v>
      </c>
      <c r="Q73" s="65" t="s">
        <v>226</v>
      </c>
    </row>
    <row r="74" spans="1:17" s="8" customFormat="1" ht="28.5" customHeight="1" x14ac:dyDescent="0.2">
      <c r="A74" s="138" t="s">
        <v>193</v>
      </c>
      <c r="B74" s="324">
        <v>306</v>
      </c>
      <c r="C74" s="144"/>
      <c r="D74" s="409" t="s">
        <v>1278</v>
      </c>
      <c r="E74" s="282"/>
      <c r="F74" s="282"/>
      <c r="G74" s="282"/>
      <c r="H74" s="282"/>
      <c r="I74" s="282"/>
      <c r="J74" s="585"/>
      <c r="K74" s="806"/>
      <c r="L74" s="282">
        <v>150000</v>
      </c>
      <c r="M74" s="282">
        <v>150000</v>
      </c>
      <c r="N74" s="282"/>
      <c r="O74" s="282"/>
      <c r="P74" s="282" t="s">
        <v>226</v>
      </c>
      <c r="Q74" s="585" t="s">
        <v>226</v>
      </c>
    </row>
    <row r="75" spans="1:17" s="8" customFormat="1" ht="28.5" customHeight="1" x14ac:dyDescent="0.2">
      <c r="A75" s="1168" t="s">
        <v>567</v>
      </c>
      <c r="B75" s="1139"/>
      <c r="C75" s="1139"/>
      <c r="D75" s="573" t="s">
        <v>1279</v>
      </c>
      <c r="E75" s="41">
        <f>SUM(E76:E103)</f>
        <v>0</v>
      </c>
      <c r="F75" s="41">
        <f t="shared" ref="F75:O75" si="13">SUM(F76:F103)</f>
        <v>0</v>
      </c>
      <c r="G75" s="41"/>
      <c r="H75" s="41">
        <f t="shared" si="13"/>
        <v>0</v>
      </c>
      <c r="I75" s="41">
        <f t="shared" si="13"/>
        <v>0</v>
      </c>
      <c r="J75" s="42"/>
      <c r="K75" s="803">
        <f t="shared" si="13"/>
        <v>0</v>
      </c>
      <c r="L75" s="41">
        <f>SUM(L76:L103)</f>
        <v>9725000</v>
      </c>
      <c r="M75" s="41">
        <f>SUM(M76:M103)</f>
        <v>9725000</v>
      </c>
      <c r="N75" s="41">
        <f t="shared" si="13"/>
        <v>0</v>
      </c>
      <c r="O75" s="41">
        <f t="shared" si="13"/>
        <v>0</v>
      </c>
      <c r="P75" s="361"/>
      <c r="Q75" s="42"/>
    </row>
    <row r="76" spans="1:17" s="8" customFormat="1" ht="28.5" customHeight="1" x14ac:dyDescent="0.2">
      <c r="A76" s="53" t="s">
        <v>191</v>
      </c>
      <c r="B76" s="147">
        <v>306</v>
      </c>
      <c r="C76" s="272"/>
      <c r="D76" s="272" t="s">
        <v>1280</v>
      </c>
      <c r="E76" s="542"/>
      <c r="F76" s="542"/>
      <c r="G76" s="542"/>
      <c r="H76" s="542"/>
      <c r="I76" s="542"/>
      <c r="J76" s="567"/>
      <c r="K76" s="804"/>
      <c r="L76" s="542">
        <v>250000</v>
      </c>
      <c r="M76" s="542">
        <v>250000</v>
      </c>
      <c r="N76" s="542"/>
      <c r="O76" s="542"/>
      <c r="P76" s="542" t="s">
        <v>226</v>
      </c>
      <c r="Q76" s="567" t="s">
        <v>226</v>
      </c>
    </row>
    <row r="77" spans="1:17" s="8" customFormat="1" ht="28.5" customHeight="1" x14ac:dyDescent="0.2">
      <c r="A77" s="54" t="s">
        <v>192</v>
      </c>
      <c r="B77" s="132">
        <v>306</v>
      </c>
      <c r="C77" s="114"/>
      <c r="D77" s="114" t="s">
        <v>1281</v>
      </c>
      <c r="E77" s="543"/>
      <c r="F77" s="543"/>
      <c r="G77" s="543"/>
      <c r="H77" s="543"/>
      <c r="I77" s="543"/>
      <c r="J77" s="65"/>
      <c r="K77" s="805"/>
      <c r="L77" s="543">
        <v>350000</v>
      </c>
      <c r="M77" s="543">
        <v>350000</v>
      </c>
      <c r="N77" s="543"/>
      <c r="O77" s="543"/>
      <c r="P77" s="543" t="s">
        <v>226</v>
      </c>
      <c r="Q77" s="65" t="s">
        <v>226</v>
      </c>
    </row>
    <row r="78" spans="1:17" s="8" customFormat="1" ht="28.5" customHeight="1" x14ac:dyDescent="0.2">
      <c r="A78" s="54" t="s">
        <v>193</v>
      </c>
      <c r="B78" s="132">
        <v>306</v>
      </c>
      <c r="C78" s="114"/>
      <c r="D78" s="114" t="s">
        <v>1282</v>
      </c>
      <c r="E78" s="543"/>
      <c r="F78" s="543"/>
      <c r="G78" s="543"/>
      <c r="H78" s="543"/>
      <c r="I78" s="543"/>
      <c r="J78" s="65"/>
      <c r="K78" s="805"/>
      <c r="L78" s="543">
        <v>350000</v>
      </c>
      <c r="M78" s="543">
        <v>350000</v>
      </c>
      <c r="N78" s="543"/>
      <c r="O78" s="543"/>
      <c r="P78" s="543" t="s">
        <v>226</v>
      </c>
      <c r="Q78" s="65" t="s">
        <v>226</v>
      </c>
    </row>
    <row r="79" spans="1:17" s="8" customFormat="1" ht="28.5" customHeight="1" x14ac:dyDescent="0.2">
      <c r="A79" s="54">
        <v>4</v>
      </c>
      <c r="B79" s="132">
        <v>306</v>
      </c>
      <c r="C79" s="114"/>
      <c r="D79" s="145" t="s">
        <v>1283</v>
      </c>
      <c r="E79" s="543"/>
      <c r="F79" s="543"/>
      <c r="G79" s="543"/>
      <c r="H79" s="543"/>
      <c r="I79" s="543"/>
      <c r="J79" s="65"/>
      <c r="K79" s="805"/>
      <c r="L79" s="543">
        <v>400000</v>
      </c>
      <c r="M79" s="543">
        <v>400000</v>
      </c>
      <c r="N79" s="543"/>
      <c r="O79" s="543"/>
      <c r="P79" s="543" t="s">
        <v>226</v>
      </c>
      <c r="Q79" s="65" t="s">
        <v>226</v>
      </c>
    </row>
    <row r="80" spans="1:17" s="8" customFormat="1" ht="28.5" customHeight="1" x14ac:dyDescent="0.2">
      <c r="A80" s="54" t="s">
        <v>195</v>
      </c>
      <c r="B80" s="132">
        <v>306</v>
      </c>
      <c r="C80" s="114"/>
      <c r="D80" s="114" t="s">
        <v>1284</v>
      </c>
      <c r="E80" s="543"/>
      <c r="F80" s="543"/>
      <c r="G80" s="543"/>
      <c r="H80" s="543"/>
      <c r="I80" s="543"/>
      <c r="J80" s="65"/>
      <c r="K80" s="805"/>
      <c r="L80" s="543">
        <v>350000</v>
      </c>
      <c r="M80" s="543">
        <v>350000</v>
      </c>
      <c r="N80" s="543"/>
      <c r="O80" s="543"/>
      <c r="P80" s="543" t="s">
        <v>226</v>
      </c>
      <c r="Q80" s="65" t="s">
        <v>226</v>
      </c>
    </row>
    <row r="81" spans="1:17" s="8" customFormat="1" ht="28.5" customHeight="1" x14ac:dyDescent="0.2">
      <c r="A81" s="54" t="s">
        <v>196</v>
      </c>
      <c r="B81" s="132">
        <v>306</v>
      </c>
      <c r="C81" s="114"/>
      <c r="D81" s="114" t="s">
        <v>1285</v>
      </c>
      <c r="E81" s="543"/>
      <c r="F81" s="543"/>
      <c r="G81" s="543"/>
      <c r="H81" s="543"/>
      <c r="I81" s="543"/>
      <c r="J81" s="65"/>
      <c r="K81" s="805"/>
      <c r="L81" s="543">
        <v>300000</v>
      </c>
      <c r="M81" s="543">
        <v>300000</v>
      </c>
      <c r="N81" s="543"/>
      <c r="O81" s="543"/>
      <c r="P81" s="543" t="s">
        <v>226</v>
      </c>
      <c r="Q81" s="65" t="s">
        <v>226</v>
      </c>
    </row>
    <row r="82" spans="1:17" s="8" customFormat="1" ht="28.5" customHeight="1" x14ac:dyDescent="0.2">
      <c r="A82" s="54" t="s">
        <v>197</v>
      </c>
      <c r="B82" s="132">
        <v>306</v>
      </c>
      <c r="C82" s="114"/>
      <c r="D82" s="114" t="s">
        <v>1286</v>
      </c>
      <c r="E82" s="543"/>
      <c r="F82" s="543"/>
      <c r="G82" s="543"/>
      <c r="H82" s="543"/>
      <c r="I82" s="543"/>
      <c r="J82" s="65"/>
      <c r="K82" s="805"/>
      <c r="L82" s="543">
        <v>530000</v>
      </c>
      <c r="M82" s="543">
        <v>530000</v>
      </c>
      <c r="N82" s="543"/>
      <c r="O82" s="543"/>
      <c r="P82" s="543" t="s">
        <v>226</v>
      </c>
      <c r="Q82" s="65" t="s">
        <v>226</v>
      </c>
    </row>
    <row r="83" spans="1:17" s="8" customFormat="1" ht="28.5" customHeight="1" x14ac:dyDescent="0.2">
      <c r="A83" s="54" t="s">
        <v>198</v>
      </c>
      <c r="B83" s="132">
        <v>306</v>
      </c>
      <c r="C83" s="114"/>
      <c r="D83" s="114" t="s">
        <v>1287</v>
      </c>
      <c r="E83" s="543"/>
      <c r="F83" s="543"/>
      <c r="G83" s="543"/>
      <c r="H83" s="543"/>
      <c r="I83" s="543"/>
      <c r="J83" s="65"/>
      <c r="K83" s="805"/>
      <c r="L83" s="543">
        <v>250000</v>
      </c>
      <c r="M83" s="543">
        <v>250000</v>
      </c>
      <c r="N83" s="543"/>
      <c r="O83" s="543"/>
      <c r="P83" s="543" t="s">
        <v>226</v>
      </c>
      <c r="Q83" s="65" t="s">
        <v>226</v>
      </c>
    </row>
    <row r="84" spans="1:17" s="8" customFormat="1" ht="28.5" customHeight="1" x14ac:dyDescent="0.2">
      <c r="A84" s="54" t="s">
        <v>199</v>
      </c>
      <c r="B84" s="132">
        <v>306</v>
      </c>
      <c r="C84" s="114"/>
      <c r="D84" s="114" t="s">
        <v>1288</v>
      </c>
      <c r="E84" s="543"/>
      <c r="F84" s="543"/>
      <c r="G84" s="543"/>
      <c r="H84" s="543"/>
      <c r="I84" s="543"/>
      <c r="J84" s="65"/>
      <c r="K84" s="805"/>
      <c r="L84" s="543">
        <v>200000</v>
      </c>
      <c r="M84" s="543">
        <v>200000</v>
      </c>
      <c r="N84" s="543"/>
      <c r="O84" s="543"/>
      <c r="P84" s="543" t="s">
        <v>226</v>
      </c>
      <c r="Q84" s="65" t="s">
        <v>226</v>
      </c>
    </row>
    <row r="85" spans="1:17" s="8" customFormat="1" ht="28.5" customHeight="1" x14ac:dyDescent="0.2">
      <c r="A85" s="54" t="s">
        <v>200</v>
      </c>
      <c r="B85" s="132">
        <v>306</v>
      </c>
      <c r="C85" s="114"/>
      <c r="D85" s="145" t="s">
        <v>1289</v>
      </c>
      <c r="E85" s="543"/>
      <c r="F85" s="543"/>
      <c r="G85" s="543"/>
      <c r="H85" s="543"/>
      <c r="I85" s="543"/>
      <c r="J85" s="65"/>
      <c r="K85" s="805"/>
      <c r="L85" s="543">
        <v>150000</v>
      </c>
      <c r="M85" s="543">
        <v>150000</v>
      </c>
      <c r="N85" s="543"/>
      <c r="O85" s="543"/>
      <c r="P85" s="543" t="s">
        <v>226</v>
      </c>
      <c r="Q85" s="65" t="s">
        <v>226</v>
      </c>
    </row>
    <row r="86" spans="1:17" s="8" customFormat="1" ht="28.5" customHeight="1" x14ac:dyDescent="0.2">
      <c r="A86" s="54" t="s">
        <v>201</v>
      </c>
      <c r="B86" s="132">
        <v>306</v>
      </c>
      <c r="C86" s="114"/>
      <c r="D86" s="114" t="s">
        <v>1290</v>
      </c>
      <c r="E86" s="543"/>
      <c r="F86" s="543"/>
      <c r="G86" s="543"/>
      <c r="H86" s="543"/>
      <c r="I86" s="543"/>
      <c r="J86" s="65"/>
      <c r="K86" s="805"/>
      <c r="L86" s="543">
        <v>195000</v>
      </c>
      <c r="M86" s="543">
        <v>195000</v>
      </c>
      <c r="N86" s="543"/>
      <c r="O86" s="543"/>
      <c r="P86" s="543" t="s">
        <v>226</v>
      </c>
      <c r="Q86" s="65" t="s">
        <v>226</v>
      </c>
    </row>
    <row r="87" spans="1:17" s="8" customFormat="1" ht="28.5" customHeight="1" x14ac:dyDescent="0.2">
      <c r="A87" s="54" t="s">
        <v>228</v>
      </c>
      <c r="B87" s="132">
        <v>306</v>
      </c>
      <c r="C87" s="114"/>
      <c r="D87" s="114" t="s">
        <v>1291</v>
      </c>
      <c r="E87" s="543"/>
      <c r="F87" s="543"/>
      <c r="G87" s="543"/>
      <c r="H87" s="543"/>
      <c r="I87" s="543"/>
      <c r="J87" s="65"/>
      <c r="K87" s="805"/>
      <c r="L87" s="543">
        <v>250000</v>
      </c>
      <c r="M87" s="543">
        <v>250000</v>
      </c>
      <c r="N87" s="543"/>
      <c r="O87" s="543"/>
      <c r="P87" s="543" t="s">
        <v>226</v>
      </c>
      <c r="Q87" s="65" t="s">
        <v>226</v>
      </c>
    </row>
    <row r="88" spans="1:17" s="8" customFormat="1" ht="28.5" customHeight="1" x14ac:dyDescent="0.2">
      <c r="A88" s="54" t="s">
        <v>229</v>
      </c>
      <c r="B88" s="132">
        <v>306</v>
      </c>
      <c r="C88" s="114"/>
      <c r="D88" s="145" t="s">
        <v>1292</v>
      </c>
      <c r="E88" s="543"/>
      <c r="F88" s="543"/>
      <c r="G88" s="543"/>
      <c r="H88" s="543"/>
      <c r="I88" s="543"/>
      <c r="J88" s="65"/>
      <c r="K88" s="805"/>
      <c r="L88" s="543">
        <v>350000</v>
      </c>
      <c r="M88" s="543">
        <v>350000</v>
      </c>
      <c r="N88" s="543"/>
      <c r="O88" s="543"/>
      <c r="P88" s="543" t="s">
        <v>226</v>
      </c>
      <c r="Q88" s="65" t="s">
        <v>226</v>
      </c>
    </row>
    <row r="89" spans="1:17" s="8" customFormat="1" ht="28.5" customHeight="1" x14ac:dyDescent="0.2">
      <c r="A89" s="54" t="s">
        <v>230</v>
      </c>
      <c r="B89" s="132">
        <v>306</v>
      </c>
      <c r="C89" s="114"/>
      <c r="D89" s="114" t="s">
        <v>1293</v>
      </c>
      <c r="E89" s="543"/>
      <c r="F89" s="543"/>
      <c r="G89" s="543"/>
      <c r="H89" s="543"/>
      <c r="I89" s="543"/>
      <c r="J89" s="65"/>
      <c r="K89" s="805"/>
      <c r="L89" s="543">
        <v>700000</v>
      </c>
      <c r="M89" s="543">
        <v>700000</v>
      </c>
      <c r="N89" s="543"/>
      <c r="O89" s="543"/>
      <c r="P89" s="543" t="s">
        <v>226</v>
      </c>
      <c r="Q89" s="65" t="s">
        <v>226</v>
      </c>
    </row>
    <row r="90" spans="1:17" s="8" customFormat="1" ht="28.5" customHeight="1" x14ac:dyDescent="0.2">
      <c r="A90" s="54" t="s">
        <v>231</v>
      </c>
      <c r="B90" s="132">
        <v>306</v>
      </c>
      <c r="C90" s="114"/>
      <c r="D90" s="114" t="s">
        <v>1294</v>
      </c>
      <c r="E90" s="543"/>
      <c r="F90" s="543"/>
      <c r="G90" s="543"/>
      <c r="H90" s="543"/>
      <c r="I90" s="543"/>
      <c r="J90" s="65"/>
      <c r="K90" s="805"/>
      <c r="L90" s="543">
        <v>450000</v>
      </c>
      <c r="M90" s="543">
        <v>450000</v>
      </c>
      <c r="N90" s="543"/>
      <c r="O90" s="543"/>
      <c r="P90" s="543" t="s">
        <v>226</v>
      </c>
      <c r="Q90" s="65" t="s">
        <v>226</v>
      </c>
    </row>
    <row r="91" spans="1:17" s="8" customFormat="1" ht="28.5" customHeight="1" x14ac:dyDescent="0.2">
      <c r="A91" s="54" t="s">
        <v>232</v>
      </c>
      <c r="B91" s="132">
        <v>306</v>
      </c>
      <c r="C91" s="114"/>
      <c r="D91" s="114" t="s">
        <v>1295</v>
      </c>
      <c r="E91" s="543"/>
      <c r="F91" s="543"/>
      <c r="G91" s="543"/>
      <c r="H91" s="543"/>
      <c r="I91" s="543"/>
      <c r="J91" s="65"/>
      <c r="K91" s="805"/>
      <c r="L91" s="543">
        <v>150000</v>
      </c>
      <c r="M91" s="543">
        <v>150000</v>
      </c>
      <c r="N91" s="543"/>
      <c r="O91" s="543"/>
      <c r="P91" s="543" t="s">
        <v>226</v>
      </c>
      <c r="Q91" s="65" t="s">
        <v>226</v>
      </c>
    </row>
    <row r="92" spans="1:17" s="8" customFormat="1" ht="28.5" customHeight="1" x14ac:dyDescent="0.2">
      <c r="A92" s="54" t="s">
        <v>233</v>
      </c>
      <c r="B92" s="132">
        <v>306</v>
      </c>
      <c r="C92" s="114"/>
      <c r="D92" s="145" t="s">
        <v>1296</v>
      </c>
      <c r="E92" s="543"/>
      <c r="F92" s="543"/>
      <c r="G92" s="543"/>
      <c r="H92" s="543"/>
      <c r="I92" s="543"/>
      <c r="J92" s="65"/>
      <c r="K92" s="805"/>
      <c r="L92" s="543">
        <v>150000</v>
      </c>
      <c r="M92" s="543">
        <v>150000</v>
      </c>
      <c r="N92" s="543"/>
      <c r="O92" s="543"/>
      <c r="P92" s="543" t="s">
        <v>226</v>
      </c>
      <c r="Q92" s="65" t="s">
        <v>226</v>
      </c>
    </row>
    <row r="93" spans="1:17" s="8" customFormat="1" ht="28.5" customHeight="1" x14ac:dyDescent="0.2">
      <c r="A93" s="54" t="s">
        <v>234</v>
      </c>
      <c r="B93" s="132">
        <v>306</v>
      </c>
      <c r="C93" s="114"/>
      <c r="D93" s="114" t="s">
        <v>1297</v>
      </c>
      <c r="E93" s="543"/>
      <c r="F93" s="543"/>
      <c r="G93" s="543"/>
      <c r="H93" s="543"/>
      <c r="I93" s="543"/>
      <c r="J93" s="65"/>
      <c r="K93" s="805"/>
      <c r="L93" s="543">
        <v>450000</v>
      </c>
      <c r="M93" s="543">
        <v>450000</v>
      </c>
      <c r="N93" s="543"/>
      <c r="O93" s="543"/>
      <c r="P93" s="543" t="s">
        <v>226</v>
      </c>
      <c r="Q93" s="65" t="s">
        <v>226</v>
      </c>
    </row>
    <row r="94" spans="1:17" s="8" customFormat="1" ht="28.5" customHeight="1" x14ac:dyDescent="0.2">
      <c r="A94" s="54" t="s">
        <v>235</v>
      </c>
      <c r="B94" s="132">
        <v>306</v>
      </c>
      <c r="C94" s="114"/>
      <c r="D94" s="145" t="s">
        <v>1336</v>
      </c>
      <c r="E94" s="543"/>
      <c r="F94" s="543"/>
      <c r="G94" s="543"/>
      <c r="H94" s="543"/>
      <c r="I94" s="543"/>
      <c r="J94" s="65"/>
      <c r="K94" s="805"/>
      <c r="L94" s="543">
        <v>400000</v>
      </c>
      <c r="M94" s="543">
        <v>400000</v>
      </c>
      <c r="N94" s="543"/>
      <c r="O94" s="543"/>
      <c r="P94" s="543" t="s">
        <v>226</v>
      </c>
      <c r="Q94" s="65" t="s">
        <v>226</v>
      </c>
    </row>
    <row r="95" spans="1:17" s="8" customFormat="1" ht="28.5" customHeight="1" x14ac:dyDescent="0.2">
      <c r="A95" s="54" t="s">
        <v>236</v>
      </c>
      <c r="B95" s="132">
        <v>306</v>
      </c>
      <c r="C95" s="114"/>
      <c r="D95" s="114" t="s">
        <v>1298</v>
      </c>
      <c r="E95" s="543"/>
      <c r="F95" s="543"/>
      <c r="G95" s="543"/>
      <c r="H95" s="543"/>
      <c r="I95" s="543"/>
      <c r="J95" s="65"/>
      <c r="K95" s="805"/>
      <c r="L95" s="543">
        <v>400000</v>
      </c>
      <c r="M95" s="543">
        <v>400000</v>
      </c>
      <c r="N95" s="543"/>
      <c r="O95" s="543"/>
      <c r="P95" s="543" t="s">
        <v>226</v>
      </c>
      <c r="Q95" s="65" t="s">
        <v>226</v>
      </c>
    </row>
    <row r="96" spans="1:17" s="8" customFormat="1" ht="28.5" customHeight="1" x14ac:dyDescent="0.2">
      <c r="A96" s="54" t="s">
        <v>261</v>
      </c>
      <c r="B96" s="132">
        <v>306</v>
      </c>
      <c r="C96" s="114"/>
      <c r="D96" s="145" t="s">
        <v>1337</v>
      </c>
      <c r="E96" s="543"/>
      <c r="F96" s="543"/>
      <c r="G96" s="543"/>
      <c r="H96" s="543"/>
      <c r="I96" s="543"/>
      <c r="J96" s="65"/>
      <c r="K96" s="805"/>
      <c r="L96" s="543">
        <v>300000</v>
      </c>
      <c r="M96" s="543">
        <v>300000</v>
      </c>
      <c r="N96" s="543"/>
      <c r="O96" s="543"/>
      <c r="P96" s="543" t="s">
        <v>226</v>
      </c>
      <c r="Q96" s="65" t="s">
        <v>226</v>
      </c>
    </row>
    <row r="97" spans="1:17" s="8" customFormat="1" ht="28.5" customHeight="1" x14ac:dyDescent="0.2">
      <c r="A97" s="54" t="s">
        <v>262</v>
      </c>
      <c r="B97" s="132">
        <v>306</v>
      </c>
      <c r="C97" s="114"/>
      <c r="D97" s="114" t="s">
        <v>1299</v>
      </c>
      <c r="E97" s="543"/>
      <c r="F97" s="543"/>
      <c r="G97" s="543"/>
      <c r="H97" s="543"/>
      <c r="I97" s="543"/>
      <c r="J97" s="65"/>
      <c r="K97" s="805"/>
      <c r="L97" s="543">
        <v>450000</v>
      </c>
      <c r="M97" s="543">
        <v>450000</v>
      </c>
      <c r="N97" s="543"/>
      <c r="O97" s="543"/>
      <c r="P97" s="543" t="s">
        <v>226</v>
      </c>
      <c r="Q97" s="65" t="s">
        <v>226</v>
      </c>
    </row>
    <row r="98" spans="1:17" s="8" customFormat="1" ht="28.5" customHeight="1" x14ac:dyDescent="0.2">
      <c r="A98" s="54" t="s">
        <v>263</v>
      </c>
      <c r="B98" s="132">
        <v>306</v>
      </c>
      <c r="C98" s="114"/>
      <c r="D98" s="114" t="s">
        <v>1300</v>
      </c>
      <c r="E98" s="543"/>
      <c r="F98" s="543"/>
      <c r="G98" s="543"/>
      <c r="H98" s="543"/>
      <c r="I98" s="543"/>
      <c r="J98" s="65"/>
      <c r="K98" s="805"/>
      <c r="L98" s="543">
        <v>350000</v>
      </c>
      <c r="M98" s="543">
        <v>350000</v>
      </c>
      <c r="N98" s="543"/>
      <c r="O98" s="543"/>
      <c r="P98" s="543" t="s">
        <v>226</v>
      </c>
      <c r="Q98" s="65" t="s">
        <v>226</v>
      </c>
    </row>
    <row r="99" spans="1:17" s="8" customFormat="1" ht="28.5" customHeight="1" x14ac:dyDescent="0.2">
      <c r="A99" s="54" t="s">
        <v>264</v>
      </c>
      <c r="B99" s="132">
        <v>306</v>
      </c>
      <c r="C99" s="114"/>
      <c r="D99" s="114" t="s">
        <v>1301</v>
      </c>
      <c r="E99" s="543"/>
      <c r="F99" s="543"/>
      <c r="G99" s="543"/>
      <c r="H99" s="543"/>
      <c r="I99" s="543"/>
      <c r="J99" s="65"/>
      <c r="K99" s="805"/>
      <c r="L99" s="543">
        <v>450000</v>
      </c>
      <c r="M99" s="543">
        <v>450000</v>
      </c>
      <c r="N99" s="543"/>
      <c r="O99" s="543"/>
      <c r="P99" s="543" t="s">
        <v>226</v>
      </c>
      <c r="Q99" s="65" t="s">
        <v>226</v>
      </c>
    </row>
    <row r="100" spans="1:17" s="8" customFormat="1" ht="28.5" customHeight="1" x14ac:dyDescent="0.2">
      <c r="A100" s="54" t="s">
        <v>265</v>
      </c>
      <c r="B100" s="132">
        <v>306</v>
      </c>
      <c r="C100" s="114"/>
      <c r="D100" s="114" t="s">
        <v>1302</v>
      </c>
      <c r="E100" s="543"/>
      <c r="F100" s="543"/>
      <c r="G100" s="543"/>
      <c r="H100" s="543"/>
      <c r="I100" s="543"/>
      <c r="J100" s="65"/>
      <c r="K100" s="805"/>
      <c r="L100" s="543">
        <v>400000</v>
      </c>
      <c r="M100" s="543">
        <v>400000</v>
      </c>
      <c r="N100" s="543"/>
      <c r="O100" s="543"/>
      <c r="P100" s="543" t="s">
        <v>226</v>
      </c>
      <c r="Q100" s="65" t="s">
        <v>226</v>
      </c>
    </row>
    <row r="101" spans="1:17" s="8" customFormat="1" ht="28.5" customHeight="1" x14ac:dyDescent="0.2">
      <c r="A101" s="54" t="s">
        <v>266</v>
      </c>
      <c r="B101" s="132">
        <v>306</v>
      </c>
      <c r="C101" s="114"/>
      <c r="D101" s="114" t="s">
        <v>1303</v>
      </c>
      <c r="E101" s="543"/>
      <c r="F101" s="543"/>
      <c r="G101" s="543"/>
      <c r="H101" s="543"/>
      <c r="I101" s="543"/>
      <c r="J101" s="65"/>
      <c r="K101" s="805"/>
      <c r="L101" s="543">
        <v>400000</v>
      </c>
      <c r="M101" s="543">
        <v>400000</v>
      </c>
      <c r="N101" s="543"/>
      <c r="O101" s="543"/>
      <c r="P101" s="543" t="s">
        <v>226</v>
      </c>
      <c r="Q101" s="65" t="s">
        <v>226</v>
      </c>
    </row>
    <row r="102" spans="1:17" s="8" customFormat="1" ht="28.5" customHeight="1" x14ac:dyDescent="0.2">
      <c r="A102" s="54" t="s">
        <v>267</v>
      </c>
      <c r="B102" s="132">
        <v>306</v>
      </c>
      <c r="C102" s="114"/>
      <c r="D102" s="114" t="s">
        <v>1304</v>
      </c>
      <c r="E102" s="543"/>
      <c r="F102" s="543"/>
      <c r="G102" s="543"/>
      <c r="H102" s="543"/>
      <c r="I102" s="543"/>
      <c r="J102" s="65"/>
      <c r="K102" s="805"/>
      <c r="L102" s="543">
        <v>600000</v>
      </c>
      <c r="M102" s="543">
        <v>600000</v>
      </c>
      <c r="N102" s="543"/>
      <c r="O102" s="543"/>
      <c r="P102" s="543" t="s">
        <v>226</v>
      </c>
      <c r="Q102" s="65" t="s">
        <v>226</v>
      </c>
    </row>
    <row r="103" spans="1:17" s="8" customFormat="1" ht="28.5" customHeight="1" x14ac:dyDescent="0.2">
      <c r="A103" s="138" t="s">
        <v>268</v>
      </c>
      <c r="B103" s="324">
        <v>306</v>
      </c>
      <c r="C103" s="144"/>
      <c r="D103" s="409" t="s">
        <v>1305</v>
      </c>
      <c r="E103" s="282"/>
      <c r="F103" s="282"/>
      <c r="G103" s="282"/>
      <c r="H103" s="282"/>
      <c r="I103" s="282"/>
      <c r="J103" s="585"/>
      <c r="K103" s="806"/>
      <c r="L103" s="282">
        <v>150000</v>
      </c>
      <c r="M103" s="282">
        <v>150000</v>
      </c>
      <c r="N103" s="282"/>
      <c r="O103" s="282"/>
      <c r="P103" s="282" t="s">
        <v>226</v>
      </c>
      <c r="Q103" s="585" t="s">
        <v>226</v>
      </c>
    </row>
    <row r="104" spans="1:17" s="8" customFormat="1" ht="28.5" customHeight="1" x14ac:dyDescent="0.2">
      <c r="A104" s="1168" t="s">
        <v>1264</v>
      </c>
      <c r="B104" s="1139"/>
      <c r="C104" s="1139"/>
      <c r="D104" s="273" t="s">
        <v>1306</v>
      </c>
      <c r="E104" s="41">
        <f>SUM(E105:E110)</f>
        <v>0</v>
      </c>
      <c r="F104" s="41">
        <f t="shared" ref="F104:O104" si="14">SUM(F105:F110)</f>
        <v>0</v>
      </c>
      <c r="G104" s="41"/>
      <c r="H104" s="41">
        <f t="shared" si="14"/>
        <v>0</v>
      </c>
      <c r="I104" s="41">
        <f t="shared" si="14"/>
        <v>0</v>
      </c>
      <c r="J104" s="42"/>
      <c r="K104" s="803">
        <f t="shared" si="14"/>
        <v>0</v>
      </c>
      <c r="L104" s="41">
        <f t="shared" si="14"/>
        <v>1770000</v>
      </c>
      <c r="M104" s="41">
        <f t="shared" si="14"/>
        <v>1770000</v>
      </c>
      <c r="N104" s="41">
        <f t="shared" si="14"/>
        <v>0</v>
      </c>
      <c r="O104" s="41">
        <f t="shared" si="14"/>
        <v>0</v>
      </c>
      <c r="P104" s="41"/>
      <c r="Q104" s="117"/>
    </row>
    <row r="105" spans="1:17" s="8" customFormat="1" ht="28.5" customHeight="1" x14ac:dyDescent="0.2">
      <c r="A105" s="53" t="s">
        <v>191</v>
      </c>
      <c r="B105" s="147">
        <v>306</v>
      </c>
      <c r="C105" s="272"/>
      <c r="D105" s="272" t="s">
        <v>1307</v>
      </c>
      <c r="E105" s="542"/>
      <c r="F105" s="542"/>
      <c r="G105" s="542"/>
      <c r="H105" s="542"/>
      <c r="I105" s="542"/>
      <c r="J105" s="567"/>
      <c r="K105" s="804"/>
      <c r="L105" s="542">
        <v>300000</v>
      </c>
      <c r="M105" s="542">
        <v>300000</v>
      </c>
      <c r="N105" s="542"/>
      <c r="O105" s="542"/>
      <c r="P105" s="542" t="s">
        <v>226</v>
      </c>
      <c r="Q105" s="567" t="s">
        <v>226</v>
      </c>
    </row>
    <row r="106" spans="1:17" s="8" customFormat="1" ht="28.5" customHeight="1" x14ac:dyDescent="0.2">
      <c r="A106" s="54" t="s">
        <v>192</v>
      </c>
      <c r="B106" s="132">
        <v>306</v>
      </c>
      <c r="C106" s="114"/>
      <c r="D106" s="114" t="s">
        <v>1308</v>
      </c>
      <c r="E106" s="543"/>
      <c r="F106" s="543"/>
      <c r="G106" s="543"/>
      <c r="H106" s="543"/>
      <c r="I106" s="543"/>
      <c r="J106" s="65"/>
      <c r="K106" s="805"/>
      <c r="L106" s="543">
        <v>400000</v>
      </c>
      <c r="M106" s="543">
        <v>400000</v>
      </c>
      <c r="N106" s="543"/>
      <c r="O106" s="543"/>
      <c r="P106" s="543" t="s">
        <v>226</v>
      </c>
      <c r="Q106" s="65" t="s">
        <v>226</v>
      </c>
    </row>
    <row r="107" spans="1:17" s="8" customFormat="1" ht="28.5" customHeight="1" x14ac:dyDescent="0.2">
      <c r="A107" s="54" t="s">
        <v>193</v>
      </c>
      <c r="B107" s="132">
        <v>306</v>
      </c>
      <c r="C107" s="114"/>
      <c r="D107" s="114" t="s">
        <v>1309</v>
      </c>
      <c r="E107" s="543"/>
      <c r="F107" s="543"/>
      <c r="G107" s="543"/>
      <c r="H107" s="543"/>
      <c r="I107" s="543"/>
      <c r="J107" s="65"/>
      <c r="K107" s="805"/>
      <c r="L107" s="543">
        <v>400000</v>
      </c>
      <c r="M107" s="543">
        <v>400000</v>
      </c>
      <c r="N107" s="543"/>
      <c r="O107" s="543"/>
      <c r="P107" s="543" t="s">
        <v>226</v>
      </c>
      <c r="Q107" s="65" t="s">
        <v>226</v>
      </c>
    </row>
    <row r="108" spans="1:17" s="8" customFormat="1" ht="28.5" customHeight="1" x14ac:dyDescent="0.2">
      <c r="A108" s="54" t="s">
        <v>194</v>
      </c>
      <c r="B108" s="132">
        <v>306</v>
      </c>
      <c r="C108" s="114"/>
      <c r="D108" s="114" t="s">
        <v>1310</v>
      </c>
      <c r="E108" s="543"/>
      <c r="F108" s="543"/>
      <c r="G108" s="543"/>
      <c r="H108" s="543"/>
      <c r="I108" s="543"/>
      <c r="J108" s="65"/>
      <c r="K108" s="805"/>
      <c r="L108" s="543">
        <v>250000</v>
      </c>
      <c r="M108" s="543">
        <v>250000</v>
      </c>
      <c r="N108" s="543"/>
      <c r="O108" s="543"/>
      <c r="P108" s="543" t="s">
        <v>226</v>
      </c>
      <c r="Q108" s="65" t="s">
        <v>226</v>
      </c>
    </row>
    <row r="109" spans="1:17" s="8" customFormat="1" ht="28.5" customHeight="1" x14ac:dyDescent="0.2">
      <c r="A109" s="54" t="s">
        <v>195</v>
      </c>
      <c r="B109" s="132">
        <v>306</v>
      </c>
      <c r="C109" s="114"/>
      <c r="D109" s="114" t="s">
        <v>1311</v>
      </c>
      <c r="E109" s="543"/>
      <c r="F109" s="543"/>
      <c r="G109" s="543"/>
      <c r="H109" s="543"/>
      <c r="I109" s="543"/>
      <c r="J109" s="65"/>
      <c r="K109" s="805"/>
      <c r="L109" s="543">
        <v>170000</v>
      </c>
      <c r="M109" s="543">
        <v>170000</v>
      </c>
      <c r="N109" s="543"/>
      <c r="O109" s="543"/>
      <c r="P109" s="543" t="s">
        <v>226</v>
      </c>
      <c r="Q109" s="65" t="s">
        <v>226</v>
      </c>
    </row>
    <row r="110" spans="1:17" s="8" customFormat="1" ht="28.5" customHeight="1" x14ac:dyDescent="0.2">
      <c r="A110" s="138" t="s">
        <v>196</v>
      </c>
      <c r="B110" s="324">
        <v>306</v>
      </c>
      <c r="C110" s="144"/>
      <c r="D110" s="144" t="s">
        <v>1312</v>
      </c>
      <c r="E110" s="282"/>
      <c r="F110" s="282"/>
      <c r="G110" s="282"/>
      <c r="H110" s="282"/>
      <c r="I110" s="282"/>
      <c r="J110" s="585"/>
      <c r="K110" s="806"/>
      <c r="L110" s="282">
        <v>250000</v>
      </c>
      <c r="M110" s="282">
        <v>250000</v>
      </c>
      <c r="N110" s="282"/>
      <c r="O110" s="282"/>
      <c r="P110" s="282" t="s">
        <v>226</v>
      </c>
      <c r="Q110" s="585" t="s">
        <v>226</v>
      </c>
    </row>
    <row r="111" spans="1:17" s="8" customFormat="1" ht="21" customHeight="1" x14ac:dyDescent="0.2">
      <c r="A111" s="1189" t="s">
        <v>1313</v>
      </c>
      <c r="B111" s="1190"/>
      <c r="C111" s="1190"/>
      <c r="D111" s="1190"/>
      <c r="E111" s="577"/>
      <c r="F111" s="577"/>
      <c r="G111" s="577"/>
      <c r="H111" s="577"/>
      <c r="I111" s="577"/>
      <c r="J111" s="807"/>
      <c r="K111" s="812"/>
      <c r="L111" s="580">
        <f>+L60+L71+L75+L104+L69</f>
        <v>14650000</v>
      </c>
      <c r="M111" s="580">
        <f>+M60+M69+M71+M75+M104</f>
        <v>14650000</v>
      </c>
      <c r="N111" s="577"/>
      <c r="O111" s="577"/>
      <c r="P111" s="578"/>
      <c r="Q111" s="579"/>
    </row>
    <row r="112" spans="1:17" s="45" customFormat="1" ht="23.25" customHeight="1" x14ac:dyDescent="0.25">
      <c r="A112" s="1163" t="s">
        <v>497</v>
      </c>
      <c r="B112" s="1164"/>
      <c r="C112" s="1164"/>
      <c r="D112" s="1164"/>
      <c r="E112" s="1164"/>
      <c r="F112" s="1164"/>
      <c r="G112" s="1164"/>
      <c r="H112" s="1164"/>
      <c r="I112" s="1164"/>
      <c r="J112" s="1164"/>
      <c r="K112" s="1164"/>
      <c r="L112" s="1164"/>
      <c r="M112" s="1164"/>
      <c r="N112" s="1164"/>
      <c r="O112" s="1164"/>
      <c r="P112" s="1164"/>
      <c r="Q112" s="1165"/>
    </row>
    <row r="113" spans="1:17" ht="73.5" customHeight="1" x14ac:dyDescent="0.2">
      <c r="A113" s="401" t="s">
        <v>53</v>
      </c>
      <c r="B113" s="402" t="s">
        <v>54</v>
      </c>
      <c r="C113" s="612" t="s">
        <v>1</v>
      </c>
      <c r="D113" s="403" t="s">
        <v>2</v>
      </c>
      <c r="E113" s="1180" t="s">
        <v>68</v>
      </c>
      <c r="F113" s="1180"/>
      <c r="G113" s="1180"/>
      <c r="H113" s="1177" t="s">
        <v>691</v>
      </c>
      <c r="I113" s="1177"/>
      <c r="J113" s="1178"/>
      <c r="K113" s="1179" t="s">
        <v>64</v>
      </c>
      <c r="L113" s="1180"/>
      <c r="M113" s="1180"/>
      <c r="N113" s="385" t="s">
        <v>764</v>
      </c>
      <c r="O113" s="385" t="s">
        <v>764</v>
      </c>
      <c r="P113" s="353" t="s">
        <v>11</v>
      </c>
      <c r="Q113" s="610" t="s">
        <v>11</v>
      </c>
    </row>
    <row r="114" spans="1:17" ht="20.25" customHeight="1" x14ac:dyDescent="0.2">
      <c r="A114" s="1145" t="s">
        <v>55</v>
      </c>
      <c r="B114" s="1146"/>
      <c r="C114" s="1146"/>
      <c r="D114" s="1146"/>
      <c r="E114" s="1181" t="s">
        <v>77</v>
      </c>
      <c r="F114" s="1182"/>
      <c r="G114" s="1160"/>
      <c r="H114" s="1183" t="s">
        <v>692</v>
      </c>
      <c r="I114" s="1184"/>
      <c r="J114" s="1185"/>
      <c r="K114" s="1182" t="s">
        <v>385</v>
      </c>
      <c r="L114" s="1182"/>
      <c r="M114" s="1160"/>
      <c r="N114" s="354"/>
      <c r="O114" s="354"/>
      <c r="P114" s="354"/>
      <c r="Q114" s="117"/>
    </row>
    <row r="115" spans="1:17" s="38" customFormat="1" ht="23.25" customHeight="1" x14ac:dyDescent="0.2">
      <c r="A115" s="1142" t="s">
        <v>62</v>
      </c>
      <c r="B115" s="1135"/>
      <c r="C115" s="1135"/>
      <c r="D115" s="691" t="s">
        <v>63</v>
      </c>
      <c r="E115" s="366">
        <f>SUM(E116:E117)</f>
        <v>0</v>
      </c>
      <c r="F115" s="366">
        <f t="shared" ref="F115:O115" si="15">SUM(F116:F117)</f>
        <v>0</v>
      </c>
      <c r="G115" s="366"/>
      <c r="H115" s="366">
        <f t="shared" si="15"/>
        <v>0</v>
      </c>
      <c r="I115" s="366">
        <f t="shared" si="15"/>
        <v>0</v>
      </c>
      <c r="J115" s="735"/>
      <c r="K115" s="797">
        <f t="shared" si="15"/>
        <v>7047905</v>
      </c>
      <c r="L115" s="366">
        <f t="shared" si="15"/>
        <v>7047905</v>
      </c>
      <c r="M115" s="366">
        <f t="shared" si="15"/>
        <v>7047905</v>
      </c>
      <c r="N115" s="366">
        <f t="shared" si="15"/>
        <v>0</v>
      </c>
      <c r="O115" s="366">
        <f t="shared" si="15"/>
        <v>0</v>
      </c>
      <c r="P115" s="399"/>
      <c r="Q115" s="277"/>
    </row>
    <row r="116" spans="1:17" ht="26.25" customHeight="1" x14ac:dyDescent="0.2">
      <c r="A116" s="53" t="s">
        <v>191</v>
      </c>
      <c r="B116" s="599" t="s">
        <v>677</v>
      </c>
      <c r="C116" s="474"/>
      <c r="D116" s="557" t="s">
        <v>990</v>
      </c>
      <c r="E116" s="284"/>
      <c r="F116" s="284"/>
      <c r="G116" s="284"/>
      <c r="H116" s="284"/>
      <c r="I116" s="284"/>
      <c r="J116" s="389"/>
      <c r="K116" s="798">
        <v>6800000</v>
      </c>
      <c r="L116" s="600">
        <v>6800000</v>
      </c>
      <c r="M116" s="600">
        <v>6800000</v>
      </c>
      <c r="N116" s="308"/>
      <c r="O116" s="308"/>
      <c r="P116" s="308" t="s">
        <v>226</v>
      </c>
      <c r="Q116" s="309" t="s">
        <v>226</v>
      </c>
    </row>
    <row r="117" spans="1:17" ht="27.75" customHeight="1" x14ac:dyDescent="0.2">
      <c r="A117" s="138" t="s">
        <v>192</v>
      </c>
      <c r="B117" s="327" t="s">
        <v>677</v>
      </c>
      <c r="C117" s="140"/>
      <c r="D117" s="332" t="s">
        <v>989</v>
      </c>
      <c r="E117" s="141"/>
      <c r="F117" s="141"/>
      <c r="G117" s="141"/>
      <c r="H117" s="141"/>
      <c r="I117" s="141"/>
      <c r="J117" s="328"/>
      <c r="K117" s="799">
        <v>247905</v>
      </c>
      <c r="L117" s="601">
        <v>247905</v>
      </c>
      <c r="M117" s="601">
        <f>136220+111685</f>
        <v>247905</v>
      </c>
      <c r="N117" s="143"/>
      <c r="O117" s="143"/>
      <c r="P117" s="143" t="s">
        <v>226</v>
      </c>
      <c r="Q117" s="162" t="s">
        <v>226</v>
      </c>
    </row>
    <row r="118" spans="1:17" s="38" customFormat="1" ht="23.25" customHeight="1" x14ac:dyDescent="0.2">
      <c r="A118" s="1142" t="s">
        <v>76</v>
      </c>
      <c r="B118" s="1135"/>
      <c r="C118" s="1135"/>
      <c r="D118" s="691" t="s">
        <v>412</v>
      </c>
      <c r="E118" s="278">
        <f>SUM(E119:E120)</f>
        <v>0</v>
      </c>
      <c r="F118" s="278">
        <f t="shared" ref="F118:O118" si="16">SUM(F119:F120)</f>
        <v>0</v>
      </c>
      <c r="G118" s="278"/>
      <c r="H118" s="278">
        <f t="shared" si="16"/>
        <v>0</v>
      </c>
      <c r="I118" s="278">
        <f t="shared" si="16"/>
        <v>0</v>
      </c>
      <c r="J118" s="311"/>
      <c r="K118" s="310">
        <f t="shared" si="16"/>
        <v>117853492</v>
      </c>
      <c r="L118" s="278">
        <f t="shared" si="16"/>
        <v>116217201</v>
      </c>
      <c r="M118" s="278">
        <f t="shared" si="16"/>
        <v>116217201</v>
      </c>
      <c r="N118" s="278">
        <f t="shared" si="16"/>
        <v>0</v>
      </c>
      <c r="O118" s="278">
        <f t="shared" si="16"/>
        <v>0</v>
      </c>
      <c r="P118" s="276"/>
      <c r="Q118" s="91"/>
    </row>
    <row r="119" spans="1:17" ht="30.75" customHeight="1" x14ac:dyDescent="0.2">
      <c r="A119" s="53" t="s">
        <v>191</v>
      </c>
      <c r="B119" s="599" t="s">
        <v>678</v>
      </c>
      <c r="C119" s="474"/>
      <c r="D119" s="557" t="s">
        <v>987</v>
      </c>
      <c r="E119" s="365"/>
      <c r="F119" s="365"/>
      <c r="G119" s="365"/>
      <c r="H119" s="365"/>
      <c r="I119" s="365"/>
      <c r="J119" s="801"/>
      <c r="K119" s="800">
        <v>113200000</v>
      </c>
      <c r="L119" s="616">
        <v>111563709</v>
      </c>
      <c r="M119" s="616">
        <f>40000000+40000000+33200000-1636291</f>
        <v>111563709</v>
      </c>
      <c r="N119" s="284"/>
      <c r="O119" s="284"/>
      <c r="P119" s="308" t="s">
        <v>226</v>
      </c>
      <c r="Q119" s="309" t="s">
        <v>226</v>
      </c>
    </row>
    <row r="120" spans="1:17" ht="30.75" customHeight="1" x14ac:dyDescent="0.2">
      <c r="A120" s="138" t="s">
        <v>192</v>
      </c>
      <c r="B120" s="327" t="s">
        <v>678</v>
      </c>
      <c r="C120" s="140"/>
      <c r="D120" s="332" t="s">
        <v>988</v>
      </c>
      <c r="E120" s="285"/>
      <c r="F120" s="285"/>
      <c r="G120" s="285"/>
      <c r="H120" s="285"/>
      <c r="I120" s="285"/>
      <c r="J120" s="802"/>
      <c r="K120" s="325">
        <v>4653492</v>
      </c>
      <c r="L120" s="141">
        <v>4653492</v>
      </c>
      <c r="M120" s="141">
        <f>3783339+870153</f>
        <v>4653492</v>
      </c>
      <c r="N120" s="141"/>
      <c r="O120" s="141"/>
      <c r="P120" s="143" t="s">
        <v>226</v>
      </c>
      <c r="Q120" s="162" t="s">
        <v>226</v>
      </c>
    </row>
    <row r="121" spans="1:17" ht="23.25" customHeight="1" x14ac:dyDescent="0.2">
      <c r="A121" s="279"/>
      <c r="B121" s="280"/>
      <c r="C121" s="161"/>
      <c r="D121" s="691" t="s">
        <v>79</v>
      </c>
      <c r="E121" s="146">
        <f>+E115+E118</f>
        <v>0</v>
      </c>
      <c r="F121" s="146">
        <f t="shared" ref="F121:O121" si="17">+F115+F118</f>
        <v>0</v>
      </c>
      <c r="G121" s="146"/>
      <c r="H121" s="146">
        <f t="shared" si="17"/>
        <v>0</v>
      </c>
      <c r="I121" s="146">
        <f t="shared" si="17"/>
        <v>0</v>
      </c>
      <c r="J121" s="393"/>
      <c r="K121" s="310">
        <f>+K115+K118</f>
        <v>124901397</v>
      </c>
      <c r="L121" s="278">
        <f>+L115+L118</f>
        <v>123265106</v>
      </c>
      <c r="M121" s="278">
        <f>+M115+M118</f>
        <v>123265106</v>
      </c>
      <c r="N121" s="146">
        <f t="shared" si="17"/>
        <v>0</v>
      </c>
      <c r="O121" s="146">
        <f t="shared" si="17"/>
        <v>0</v>
      </c>
      <c r="P121" s="400"/>
      <c r="Q121" s="281"/>
    </row>
    <row r="122" spans="1:17" x14ac:dyDescent="0.2">
      <c r="A122" s="736"/>
      <c r="B122" s="737"/>
      <c r="C122" s="257"/>
      <c r="D122" s="257"/>
      <c r="E122" s="259"/>
      <c r="F122" s="259"/>
      <c r="G122" s="259"/>
      <c r="H122" s="259"/>
      <c r="I122" s="259"/>
      <c r="J122" s="738"/>
      <c r="K122" s="811"/>
      <c r="L122" s="259"/>
      <c r="M122" s="259"/>
      <c r="N122" s="259"/>
      <c r="O122" s="259"/>
      <c r="P122" s="259"/>
      <c r="Q122" s="738"/>
    </row>
    <row r="123" spans="1:17" s="45" customFormat="1" ht="22.5" customHeight="1" x14ac:dyDescent="0.25">
      <c r="A123" s="1186" t="s">
        <v>78</v>
      </c>
      <c r="B123" s="1187"/>
      <c r="C123" s="1187"/>
      <c r="D123" s="1187"/>
      <c r="E123" s="1187"/>
      <c r="F123" s="1187"/>
      <c r="G123" s="1187"/>
      <c r="H123" s="1187"/>
      <c r="I123" s="1187"/>
      <c r="J123" s="1187"/>
      <c r="K123" s="1187"/>
      <c r="L123" s="1187"/>
      <c r="M123" s="1187"/>
      <c r="N123" s="1187"/>
      <c r="O123" s="1187"/>
      <c r="P123" s="1187"/>
      <c r="Q123" s="1188"/>
    </row>
    <row r="124" spans="1:17" ht="69" customHeight="1" x14ac:dyDescent="0.2">
      <c r="A124" s="401" t="s">
        <v>53</v>
      </c>
      <c r="B124" s="402" t="s">
        <v>54</v>
      </c>
      <c r="C124" s="612" t="s">
        <v>1</v>
      </c>
      <c r="D124" s="403" t="s">
        <v>2</v>
      </c>
      <c r="E124" s="1180" t="s">
        <v>68</v>
      </c>
      <c r="F124" s="1180"/>
      <c r="G124" s="1180"/>
      <c r="H124" s="1177" t="s">
        <v>691</v>
      </c>
      <c r="I124" s="1177"/>
      <c r="J124" s="1178"/>
      <c r="K124" s="1179" t="s">
        <v>64</v>
      </c>
      <c r="L124" s="1180"/>
      <c r="M124" s="1180"/>
      <c r="N124" s="385" t="s">
        <v>764</v>
      </c>
      <c r="O124" s="385" t="s">
        <v>764</v>
      </c>
      <c r="P124" s="353" t="s">
        <v>64</v>
      </c>
      <c r="Q124" s="610" t="s">
        <v>64</v>
      </c>
    </row>
    <row r="125" spans="1:17" ht="18" customHeight="1" x14ac:dyDescent="0.2">
      <c r="A125" s="1145" t="s">
        <v>55</v>
      </c>
      <c r="B125" s="1146"/>
      <c r="C125" s="1146"/>
      <c r="D125" s="1146"/>
      <c r="E125" s="1161" t="s">
        <v>77</v>
      </c>
      <c r="F125" s="1161"/>
      <c r="G125" s="1161"/>
      <c r="H125" s="1158" t="s">
        <v>692</v>
      </c>
      <c r="I125" s="1158"/>
      <c r="J125" s="1159"/>
      <c r="K125" s="1160" t="s">
        <v>385</v>
      </c>
      <c r="L125" s="1161"/>
      <c r="M125" s="1161"/>
      <c r="N125" s="354"/>
      <c r="O125" s="354"/>
      <c r="P125" s="354"/>
      <c r="Q125" s="117"/>
    </row>
    <row r="126" spans="1:17" s="38" customFormat="1" ht="23.25" customHeight="1" x14ac:dyDescent="0.2">
      <c r="A126" s="1142" t="s">
        <v>909</v>
      </c>
      <c r="B126" s="1135"/>
      <c r="C126" s="1135"/>
      <c r="D126" s="691" t="s">
        <v>910</v>
      </c>
      <c r="E126" s="278"/>
      <c r="F126" s="278"/>
      <c r="G126" s="278"/>
      <c r="H126" s="278"/>
      <c r="I126" s="278"/>
      <c r="J126" s="311"/>
      <c r="K126" s="310"/>
      <c r="L126" s="278"/>
      <c r="M126" s="278"/>
      <c r="N126" s="278"/>
      <c r="O126" s="278"/>
      <c r="P126" s="276"/>
      <c r="Q126" s="91"/>
    </row>
    <row r="127" spans="1:17" ht="19.5" customHeight="1" x14ac:dyDescent="0.2">
      <c r="A127" s="53" t="s">
        <v>191</v>
      </c>
      <c r="B127" s="602" t="s">
        <v>679</v>
      </c>
      <c r="C127" s="474"/>
      <c r="D127" s="74" t="s">
        <v>80</v>
      </c>
      <c r="E127" s="284">
        <v>4000000</v>
      </c>
      <c r="F127" s="284">
        <v>4000000</v>
      </c>
      <c r="G127" s="284">
        <f>2000000+2000000</f>
        <v>4000000</v>
      </c>
      <c r="H127" s="284"/>
      <c r="I127" s="284"/>
      <c r="J127" s="389"/>
      <c r="K127" s="790"/>
      <c r="L127" s="365"/>
      <c r="M127" s="365"/>
      <c r="N127" s="365"/>
      <c r="O127" s="365"/>
      <c r="P127" s="308" t="s">
        <v>226</v>
      </c>
      <c r="Q127" s="309" t="s">
        <v>226</v>
      </c>
    </row>
    <row r="128" spans="1:17" ht="19.5" customHeight="1" x14ac:dyDescent="0.2">
      <c r="A128" s="54" t="s">
        <v>192</v>
      </c>
      <c r="B128" s="137" t="s">
        <v>679</v>
      </c>
      <c r="C128" s="136"/>
      <c r="D128" s="72" t="s">
        <v>81</v>
      </c>
      <c r="E128" s="124">
        <v>18600000</v>
      </c>
      <c r="F128" s="124">
        <v>18600000</v>
      </c>
      <c r="G128" s="124">
        <v>18600000</v>
      </c>
      <c r="H128" s="124"/>
      <c r="I128" s="124"/>
      <c r="J128" s="302"/>
      <c r="K128" s="791"/>
      <c r="L128" s="288"/>
      <c r="M128" s="288"/>
      <c r="N128" s="288"/>
      <c r="O128" s="288"/>
      <c r="P128" s="112" t="s">
        <v>226</v>
      </c>
      <c r="Q128" s="63" t="s">
        <v>226</v>
      </c>
    </row>
    <row r="129" spans="1:18" ht="19.5" customHeight="1" x14ac:dyDescent="0.2">
      <c r="A129" s="138" t="s">
        <v>193</v>
      </c>
      <c r="B129" s="139">
        <v>311</v>
      </c>
      <c r="C129" s="140"/>
      <c r="D129" s="73" t="s">
        <v>573</v>
      </c>
      <c r="E129" s="141">
        <v>4000000</v>
      </c>
      <c r="F129" s="141">
        <v>4000000</v>
      </c>
      <c r="G129" s="141">
        <v>4000000</v>
      </c>
      <c r="H129" s="141"/>
      <c r="I129" s="141"/>
      <c r="J129" s="328"/>
      <c r="K129" s="792"/>
      <c r="L129" s="285"/>
      <c r="M129" s="285"/>
      <c r="N129" s="285"/>
      <c r="O129" s="285"/>
      <c r="P129" s="143" t="s">
        <v>226</v>
      </c>
      <c r="Q129" s="162" t="s">
        <v>226</v>
      </c>
    </row>
    <row r="130" spans="1:18" s="38" customFormat="1" ht="22.5" customHeight="1" x14ac:dyDescent="0.2">
      <c r="A130" s="1126" t="s">
        <v>395</v>
      </c>
      <c r="B130" s="1128"/>
      <c r="C130" s="1128"/>
      <c r="D130" s="1128"/>
      <c r="E130" s="123">
        <f t="shared" ref="E130:O130" si="18">SUM(E127:E129)</f>
        <v>26600000</v>
      </c>
      <c r="F130" s="123">
        <f t="shared" si="18"/>
        <v>26600000</v>
      </c>
      <c r="G130" s="123">
        <f t="shared" si="18"/>
        <v>26600000</v>
      </c>
      <c r="H130" s="123">
        <f t="shared" si="18"/>
        <v>0</v>
      </c>
      <c r="I130" s="123">
        <f t="shared" si="18"/>
        <v>0</v>
      </c>
      <c r="J130" s="794"/>
      <c r="K130" s="793">
        <f t="shared" si="18"/>
        <v>0</v>
      </c>
      <c r="L130" s="123">
        <f t="shared" si="18"/>
        <v>0</v>
      </c>
      <c r="M130" s="123"/>
      <c r="N130" s="123">
        <f t="shared" si="18"/>
        <v>0</v>
      </c>
      <c r="O130" s="123">
        <f t="shared" si="18"/>
        <v>0</v>
      </c>
      <c r="P130" s="617"/>
      <c r="Q130" s="618"/>
    </row>
    <row r="131" spans="1:18" x14ac:dyDescent="0.2">
      <c r="A131" s="739"/>
      <c r="H131" s="795"/>
      <c r="I131" s="795"/>
      <c r="J131" s="796"/>
      <c r="Q131" s="197"/>
    </row>
    <row r="132" spans="1:18" ht="43.5" customHeight="1" x14ac:dyDescent="0.2">
      <c r="A132" s="1143" t="s">
        <v>83</v>
      </c>
      <c r="B132" s="1144"/>
      <c r="C132" s="1144"/>
      <c r="D132" s="1144"/>
      <c r="E132" s="404">
        <f>+E130+E121+E8+E17+E19+E21+E23+E6+E33+E35+E10</f>
        <v>32622051</v>
      </c>
      <c r="F132" s="404">
        <f>+F130+F121+F8+F17+F19+F21+F23+F6+F33+F35+F10</f>
        <v>31990500</v>
      </c>
      <c r="G132" s="404">
        <f>+G130+G121+G8+G17+G19+G21+G23+G6+G33+G35+G10</f>
        <v>31890500</v>
      </c>
      <c r="H132" s="404">
        <f>+H130+H121+H8+H17+H19+H21+H23+H6</f>
        <v>0</v>
      </c>
      <c r="I132" s="404">
        <f>+I130+I121+I8+I17+I19+I21+I23+I6</f>
        <v>0</v>
      </c>
      <c r="J132" s="404">
        <f>+J130+J121+J8+J17+J19+J21+J23+J6</f>
        <v>0</v>
      </c>
      <c r="K132" s="789">
        <f>+K130+K121+K8+K17+K19+K21+K23+K6+K35+K33+K10</f>
        <v>253484197</v>
      </c>
      <c r="L132" s="404">
        <f>+L130+L121+L8+L17+L19+L21+L23+L6+L35+L33+L10+L41+L49+L111+L53</f>
        <v>306531364</v>
      </c>
      <c r="M132" s="404">
        <f>+M130+M121+M8+M17+M19+M21+M23+M6+M35+M33+M10+M41+M49+M111+M53</f>
        <v>298212843</v>
      </c>
      <c r="N132" s="404">
        <f>+N130+N121+N8+N17+N19+N21+N23+N6</f>
        <v>0</v>
      </c>
      <c r="O132" s="404">
        <f>+O130+O121+O8+O17+O19+O21+O23+O6</f>
        <v>0</v>
      </c>
      <c r="P132" s="404"/>
      <c r="Q132" s="405"/>
      <c r="R132" s="47"/>
    </row>
    <row r="134" spans="1:18" ht="33.75" customHeight="1" x14ac:dyDescent="0.2">
      <c r="K134" s="47">
        <f>+K132+E132</f>
        <v>286106248</v>
      </c>
      <c r="L134" s="47">
        <f>+L132+F132</f>
        <v>338521864</v>
      </c>
      <c r="M134" s="47">
        <f>+M132+G132</f>
        <v>330103343</v>
      </c>
      <c r="N134" s="47"/>
      <c r="O134" s="47"/>
    </row>
    <row r="135" spans="1:18" ht="18.75" customHeight="1" x14ac:dyDescent="0.2"/>
    <row r="137" spans="1:18" x14ac:dyDescent="0.2">
      <c r="K137" s="47">
        <f>+K134-'3. sz.Városi szintű összesen'!M13</f>
        <v>0</v>
      </c>
      <c r="L137" s="47"/>
      <c r="M137" s="47"/>
    </row>
    <row r="138" spans="1:18" ht="18.75" customHeight="1" x14ac:dyDescent="0.2">
      <c r="M138" s="47">
        <f>+G132+M132</f>
        <v>330103343</v>
      </c>
    </row>
    <row r="139" spans="1:18" ht="18.75" customHeight="1" x14ac:dyDescent="0.2"/>
    <row r="140" spans="1:18" ht="18.75" customHeight="1" x14ac:dyDescent="0.2">
      <c r="K140" s="47"/>
      <c r="L140" s="47"/>
      <c r="M140" s="47">
        <f>330103343-G132-M132</f>
        <v>0</v>
      </c>
    </row>
    <row r="141" spans="1:18" ht="18.75"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9" ht="21.75" customHeight="1" x14ac:dyDescent="0.2"/>
  </sheetData>
  <mergeCells count="67">
    <mergeCell ref="A53:C53"/>
    <mergeCell ref="E124:G124"/>
    <mergeCell ref="H124:J124"/>
    <mergeCell ref="K124:M124"/>
    <mergeCell ref="E125:G125"/>
    <mergeCell ref="H125:J125"/>
    <mergeCell ref="K125:M125"/>
    <mergeCell ref="A123:Q123"/>
    <mergeCell ref="A75:C75"/>
    <mergeCell ref="A104:C104"/>
    <mergeCell ref="A111:D111"/>
    <mergeCell ref="K59:M59"/>
    <mergeCell ref="E59:G59"/>
    <mergeCell ref="H59:J59"/>
    <mergeCell ref="N58:O58"/>
    <mergeCell ref="E113:G113"/>
    <mergeCell ref="H113:J113"/>
    <mergeCell ref="K113:M113"/>
    <mergeCell ref="E114:G114"/>
    <mergeCell ref="H114:J114"/>
    <mergeCell ref="K114:M114"/>
    <mergeCell ref="A112:Q112"/>
    <mergeCell ref="A59:D59"/>
    <mergeCell ref="A60:C60"/>
    <mergeCell ref="A57:A58"/>
    <mergeCell ref="B57:B58"/>
    <mergeCell ref="C57:C58"/>
    <mergeCell ref="D57:D58"/>
    <mergeCell ref="A69:C69"/>
    <mergeCell ref="A71:C71"/>
    <mergeCell ref="E5:G5"/>
    <mergeCell ref="H5:J5"/>
    <mergeCell ref="K5:M5"/>
    <mergeCell ref="E58:G58"/>
    <mergeCell ref="H58:J58"/>
    <mergeCell ref="K58:M58"/>
    <mergeCell ref="N4:O4"/>
    <mergeCell ref="P4:Q4"/>
    <mergeCell ref="E4:G4"/>
    <mergeCell ref="H4:J4"/>
    <mergeCell ref="K4:M4"/>
    <mergeCell ref="A1:Q1"/>
    <mergeCell ref="A132:D132"/>
    <mergeCell ref="A125:D125"/>
    <mergeCell ref="A2:P2"/>
    <mergeCell ref="A114:D114"/>
    <mergeCell ref="A19:C19"/>
    <mergeCell ref="A23:C23"/>
    <mergeCell ref="A130:D130"/>
    <mergeCell ref="A118:C118"/>
    <mergeCell ref="A115:C115"/>
    <mergeCell ref="A21:C21"/>
    <mergeCell ref="A126:C126"/>
    <mergeCell ref="A33:C33"/>
    <mergeCell ref="A55:Q56"/>
    <mergeCell ref="A49:C49"/>
    <mergeCell ref="D3:D4"/>
    <mergeCell ref="A41:C41"/>
    <mergeCell ref="C3:C4"/>
    <mergeCell ref="B3:B4"/>
    <mergeCell ref="A3:A4"/>
    <mergeCell ref="A10:C10"/>
    <mergeCell ref="A35:C35"/>
    <mergeCell ref="A5:D5"/>
    <mergeCell ref="A8:C8"/>
    <mergeCell ref="A17:C17"/>
    <mergeCell ref="A6:C6"/>
  </mergeCells>
  <phoneticPr fontId="44" type="noConversion"/>
  <printOptions horizontalCentered="1" verticalCentered="1"/>
  <pageMargins left="0.51181102362204722" right="0.11811023622047245" top="0.39370078740157483" bottom="0.35433070866141736" header="0.31496062992125984" footer="0.31496062992125984"/>
  <pageSetup paperSize="9" scale="48" orientation="landscape" r:id="rId1"/>
  <headerFooter>
    <oddHeader>&amp;C2022. évi zárszámadás&amp;R&amp;A</oddHeader>
    <oddFooter>&amp;C&amp;P/&amp;N</oddFooter>
  </headerFooter>
  <rowBreaks count="4" manualBreakCount="4">
    <brk id="35" max="16" man="1"/>
    <brk id="70" max="16" man="1"/>
    <brk id="111" max="16" man="1"/>
    <brk id="132" max="7" man="1"/>
  </rowBreaks>
  <colBreaks count="1" manualBreakCount="1">
    <brk id="10" max="11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N190"/>
  <sheetViews>
    <sheetView view="pageBreakPreview" zoomScale="80" zoomScaleNormal="80" zoomScaleSheetLayoutView="80" workbookViewId="0">
      <pane xSplit="4" ySplit="7" topLeftCell="E179" activePane="bottomRight" state="frozen"/>
      <selection activeCell="Y17" sqref="Y17"/>
      <selection pane="topRight" activeCell="Y17" sqref="Y17"/>
      <selection pane="bottomLeft" activeCell="Y17" sqref="Y17"/>
      <selection pane="bottomRight" activeCell="G8" sqref="G8"/>
    </sheetView>
  </sheetViews>
  <sheetFormatPr defaultColWidth="9.140625" defaultRowHeight="12.75" x14ac:dyDescent="0.2"/>
  <cols>
    <col min="1" max="1" width="6.7109375" style="8" customWidth="1"/>
    <col min="2" max="2" width="11.7109375" style="8" customWidth="1"/>
    <col min="3" max="3" width="57" style="8" customWidth="1"/>
    <col min="4" max="4" width="6.5703125" style="972" customWidth="1"/>
    <col min="5" max="5" width="17.140625" style="8" customWidth="1"/>
    <col min="6" max="6" width="17.5703125" style="8" customWidth="1"/>
    <col min="7" max="7" width="17.28515625" style="8" customWidth="1"/>
    <col min="8" max="10" width="17.5703125" style="8" customWidth="1"/>
    <col min="11" max="11" width="17.140625" style="8" customWidth="1"/>
    <col min="12" max="13" width="17.7109375" style="8" customWidth="1"/>
    <col min="14" max="16" width="14.7109375" style="8" customWidth="1"/>
    <col min="17" max="17" width="16.7109375" style="8" customWidth="1"/>
    <col min="18" max="18" width="17.42578125" style="8" customWidth="1"/>
    <col min="19" max="19" width="17" style="8" customWidth="1"/>
    <col min="20" max="22" width="15.28515625" style="8" customWidth="1"/>
    <col min="23" max="24" width="16" style="8" customWidth="1"/>
    <col min="25" max="25" width="9.5703125" style="8" bestFit="1" customWidth="1"/>
    <col min="26" max="28" width="17.5703125" style="8" customWidth="1"/>
    <col min="29" max="29" width="20" style="907" customWidth="1"/>
    <col min="30" max="30" width="16.7109375" style="8" bestFit="1" customWidth="1"/>
    <col min="31" max="31" width="17.42578125" style="8" customWidth="1"/>
    <col min="32" max="32" width="11.42578125" style="8" customWidth="1"/>
    <col min="33" max="33" width="18.28515625" style="8" bestFit="1" customWidth="1"/>
    <col min="34" max="34" width="14.85546875" style="8" customWidth="1"/>
    <col min="35" max="35" width="9.28515625" style="8" bestFit="1" customWidth="1"/>
    <col min="36" max="36" width="15.5703125" style="8" bestFit="1" customWidth="1"/>
    <col min="37" max="37" width="13" style="8" customWidth="1"/>
    <col min="38" max="38" width="14.28515625" style="8" bestFit="1" customWidth="1"/>
    <col min="39" max="39" width="13.85546875" style="8" bestFit="1" customWidth="1"/>
    <col min="40" max="40" width="13" style="8" bestFit="1" customWidth="1"/>
    <col min="41" max="16384" width="9.140625" style="8"/>
  </cols>
  <sheetData>
    <row r="1" spans="1:40" ht="31.5" customHeight="1" x14ac:dyDescent="0.2">
      <c r="A1" s="874"/>
      <c r="B1" s="874"/>
      <c r="C1" s="874"/>
      <c r="D1" s="874"/>
      <c r="E1" s="1193" t="s">
        <v>30</v>
      </c>
      <c r="F1" s="1193"/>
      <c r="G1" s="1193"/>
      <c r="H1" s="1193"/>
      <c r="I1" s="1193"/>
      <c r="J1" s="1193"/>
      <c r="K1" s="1193"/>
      <c r="L1" s="1193"/>
      <c r="M1" s="1193"/>
      <c r="N1" s="1193"/>
      <c r="O1" s="1193"/>
      <c r="P1" s="1193"/>
      <c r="Q1" s="1193" t="s">
        <v>30</v>
      </c>
      <c r="R1" s="1193"/>
      <c r="S1" s="1193"/>
      <c r="T1" s="1193"/>
      <c r="U1" s="1193"/>
      <c r="V1" s="1193"/>
      <c r="W1" s="1193"/>
      <c r="X1" s="1193"/>
      <c r="Y1" s="1193"/>
      <c r="Z1" s="1193"/>
      <c r="AA1" s="1193"/>
      <c r="AB1" s="1193"/>
      <c r="AC1" s="1193" t="s">
        <v>30</v>
      </c>
      <c r="AD1" s="1193"/>
      <c r="AE1" s="1193"/>
      <c r="AF1" s="1193"/>
      <c r="AG1" s="1193"/>
      <c r="AH1" s="1193"/>
    </row>
    <row r="2" spans="1:40" ht="31.5" customHeight="1" x14ac:dyDescent="0.25">
      <c r="A2" s="650"/>
      <c r="B2" s="650"/>
      <c r="C2" s="650"/>
      <c r="D2" s="650"/>
      <c r="E2" s="650"/>
      <c r="F2" s="650"/>
      <c r="G2" s="650"/>
      <c r="H2" s="650"/>
      <c r="I2" s="650"/>
      <c r="J2" s="650"/>
      <c r="K2" s="650"/>
      <c r="L2" s="650"/>
      <c r="M2" s="650"/>
      <c r="N2" s="650"/>
      <c r="O2" s="650"/>
      <c r="P2" s="245" t="s">
        <v>415</v>
      </c>
      <c r="Q2" s="650"/>
      <c r="S2" s="245"/>
      <c r="T2" s="650"/>
      <c r="U2" s="650"/>
      <c r="V2" s="650"/>
      <c r="W2" s="650"/>
      <c r="X2" s="650"/>
      <c r="Y2" s="650"/>
      <c r="Z2" s="650"/>
      <c r="AA2" s="650"/>
      <c r="AB2" s="245" t="s">
        <v>415</v>
      </c>
      <c r="AC2" s="650"/>
      <c r="AD2" s="650"/>
      <c r="AE2" s="650"/>
      <c r="AF2" s="650"/>
      <c r="AG2" s="650"/>
      <c r="AH2" s="916" t="s">
        <v>415</v>
      </c>
    </row>
    <row r="3" spans="1:40" ht="39" customHeight="1" x14ac:dyDescent="0.2">
      <c r="A3" s="1194" t="s">
        <v>682</v>
      </c>
      <c r="B3" s="1197" t="s">
        <v>1</v>
      </c>
      <c r="C3" s="1197" t="s">
        <v>2</v>
      </c>
      <c r="D3" s="1197" t="s">
        <v>648</v>
      </c>
      <c r="E3" s="875" t="s">
        <v>274</v>
      </c>
      <c r="F3" s="876" t="s">
        <v>1074</v>
      </c>
      <c r="G3" s="877" t="s">
        <v>1546</v>
      </c>
      <c r="H3" s="875" t="s">
        <v>274</v>
      </c>
      <c r="I3" s="876" t="s">
        <v>1074</v>
      </c>
      <c r="J3" s="877" t="s">
        <v>1546</v>
      </c>
      <c r="K3" s="875" t="s">
        <v>274</v>
      </c>
      <c r="L3" s="876" t="s">
        <v>1074</v>
      </c>
      <c r="M3" s="877" t="s">
        <v>1546</v>
      </c>
      <c r="N3" s="875" t="s">
        <v>274</v>
      </c>
      <c r="O3" s="876" t="s">
        <v>1074</v>
      </c>
      <c r="P3" s="877" t="s">
        <v>1546</v>
      </c>
      <c r="Q3" s="878" t="s">
        <v>274</v>
      </c>
      <c r="R3" s="876" t="s">
        <v>1074</v>
      </c>
      <c r="S3" s="877" t="s">
        <v>1546</v>
      </c>
      <c r="T3" s="875" t="s">
        <v>274</v>
      </c>
      <c r="U3" s="876" t="s">
        <v>1074</v>
      </c>
      <c r="V3" s="877" t="s">
        <v>1546</v>
      </c>
      <c r="W3" s="875" t="s">
        <v>274</v>
      </c>
      <c r="X3" s="876" t="s">
        <v>1074</v>
      </c>
      <c r="Y3" s="877" t="s">
        <v>1546</v>
      </c>
      <c r="Z3" s="875" t="s">
        <v>274</v>
      </c>
      <c r="AA3" s="876" t="s">
        <v>1074</v>
      </c>
      <c r="AB3" s="877" t="s">
        <v>1546</v>
      </c>
      <c r="AC3" s="1200" t="s">
        <v>965</v>
      </c>
      <c r="AD3" s="1149"/>
      <c r="AE3" s="1149"/>
      <c r="AF3" s="1149"/>
      <c r="AG3" s="1149"/>
      <c r="AH3" s="1201"/>
    </row>
    <row r="4" spans="1:40" ht="19.5" customHeight="1" x14ac:dyDescent="0.2">
      <c r="A4" s="1195"/>
      <c r="B4" s="1198"/>
      <c r="C4" s="1198"/>
      <c r="D4" s="1198"/>
      <c r="E4" s="1194" t="s">
        <v>888</v>
      </c>
      <c r="F4" s="1197"/>
      <c r="G4" s="1202"/>
      <c r="H4" s="1194" t="s">
        <v>3</v>
      </c>
      <c r="I4" s="1197"/>
      <c r="J4" s="1202"/>
      <c r="K4" s="1194" t="s">
        <v>4</v>
      </c>
      <c r="L4" s="1197" t="s">
        <v>4</v>
      </c>
      <c r="M4" s="1202"/>
      <c r="N4" s="1194" t="s">
        <v>5</v>
      </c>
      <c r="O4" s="1197" t="s">
        <v>5</v>
      </c>
      <c r="P4" s="1202"/>
      <c r="Q4" s="1197" t="s">
        <v>6</v>
      </c>
      <c r="R4" s="1197" t="s">
        <v>6</v>
      </c>
      <c r="S4" s="1202"/>
      <c r="T4" s="1194" t="s">
        <v>890</v>
      </c>
      <c r="U4" s="1197" t="s">
        <v>890</v>
      </c>
      <c r="V4" s="1202"/>
      <c r="W4" s="1194" t="s">
        <v>696</v>
      </c>
      <c r="X4" s="1197" t="s">
        <v>696</v>
      </c>
      <c r="Y4" s="1202"/>
      <c r="Z4" s="1194" t="s">
        <v>7</v>
      </c>
      <c r="AA4" s="1197" t="s">
        <v>7</v>
      </c>
      <c r="AB4" s="1202"/>
      <c r="AC4" s="1179" t="s">
        <v>8</v>
      </c>
      <c r="AD4" s="1180" t="s">
        <v>9</v>
      </c>
      <c r="AE4" s="1180" t="s">
        <v>180</v>
      </c>
      <c r="AF4" s="1180" t="s">
        <v>10</v>
      </c>
      <c r="AG4" s="1180" t="s">
        <v>594</v>
      </c>
      <c r="AH4" s="1192" t="s">
        <v>11</v>
      </c>
    </row>
    <row r="5" spans="1:40" ht="83.25" customHeight="1" x14ac:dyDescent="0.2">
      <c r="A5" s="1196"/>
      <c r="B5" s="1199"/>
      <c r="C5" s="1199"/>
      <c r="D5" s="1199"/>
      <c r="E5" s="1196"/>
      <c r="F5" s="1199"/>
      <c r="G5" s="1203"/>
      <c r="H5" s="1196"/>
      <c r="I5" s="1199"/>
      <c r="J5" s="1203"/>
      <c r="K5" s="1196"/>
      <c r="L5" s="1199"/>
      <c r="M5" s="1203"/>
      <c r="N5" s="1196"/>
      <c r="O5" s="1199"/>
      <c r="P5" s="1203"/>
      <c r="Q5" s="1199"/>
      <c r="R5" s="1199"/>
      <c r="S5" s="1203"/>
      <c r="T5" s="1196"/>
      <c r="U5" s="1199"/>
      <c r="V5" s="1203"/>
      <c r="W5" s="1196"/>
      <c r="X5" s="1199"/>
      <c r="Y5" s="1203"/>
      <c r="Z5" s="1196"/>
      <c r="AA5" s="1199"/>
      <c r="AB5" s="1203"/>
      <c r="AC5" s="1179"/>
      <c r="AD5" s="1180"/>
      <c r="AE5" s="1180"/>
      <c r="AF5" s="1180"/>
      <c r="AG5" s="1180"/>
      <c r="AH5" s="1192"/>
    </row>
    <row r="6" spans="1:40" ht="19.5" customHeight="1" x14ac:dyDescent="0.2">
      <c r="A6" s="879" t="s">
        <v>248</v>
      </c>
      <c r="B6" s="581"/>
      <c r="C6" s="581"/>
      <c r="D6" s="581"/>
      <c r="E6" s="1146" t="s">
        <v>2053</v>
      </c>
      <c r="F6" s="1146"/>
      <c r="G6" s="1146"/>
      <c r="H6" s="1146" t="s">
        <v>12</v>
      </c>
      <c r="I6" s="1146"/>
      <c r="J6" s="1146"/>
      <c r="K6" s="1146" t="s">
        <v>13</v>
      </c>
      <c r="L6" s="1146"/>
      <c r="M6" s="1146"/>
      <c r="N6" s="1146" t="s">
        <v>14</v>
      </c>
      <c r="O6" s="1146" t="s">
        <v>14</v>
      </c>
      <c r="P6" s="1204"/>
      <c r="Q6" s="1208" t="s">
        <v>15</v>
      </c>
      <c r="R6" s="1146" t="s">
        <v>15</v>
      </c>
      <c r="S6" s="1146"/>
      <c r="T6" s="1146" t="s">
        <v>891</v>
      </c>
      <c r="U6" s="1146" t="s">
        <v>891</v>
      </c>
      <c r="V6" s="1146"/>
      <c r="W6" s="1146" t="s">
        <v>695</v>
      </c>
      <c r="X6" s="1146" t="s">
        <v>695</v>
      </c>
      <c r="Y6" s="1146"/>
      <c r="Z6" s="1146" t="s">
        <v>16</v>
      </c>
      <c r="AA6" s="1146" t="s">
        <v>16</v>
      </c>
      <c r="AB6" s="1204"/>
      <c r="AC6" s="1179"/>
      <c r="AD6" s="1180"/>
      <c r="AE6" s="1180"/>
      <c r="AF6" s="1180"/>
      <c r="AG6" s="1180"/>
      <c r="AH6" s="1192"/>
    </row>
    <row r="7" spans="1:40" s="9" customFormat="1" ht="21" customHeight="1" x14ac:dyDescent="0.2">
      <c r="A7" s="917" t="s">
        <v>28</v>
      </c>
      <c r="B7" s="691"/>
      <c r="C7" s="691"/>
      <c r="D7" s="687"/>
      <c r="E7" s="276">
        <f>SUM(E8:E9)</f>
        <v>7499350</v>
      </c>
      <c r="F7" s="276">
        <f>SUM(F8:F9)</f>
        <v>41418264</v>
      </c>
      <c r="G7" s="276">
        <f>SUM(G8:G9)</f>
        <v>6604000</v>
      </c>
      <c r="H7" s="276">
        <f>SUM(H8:H9)</f>
        <v>0</v>
      </c>
      <c r="I7" s="276">
        <f>SUM(I8:I9)</f>
        <v>0</v>
      </c>
      <c r="J7" s="276"/>
      <c r="K7" s="276">
        <f t="shared" ref="K7:AG7" si="0">SUM(K8:K9)</f>
        <v>5905000</v>
      </c>
      <c r="L7" s="276">
        <f t="shared" si="0"/>
        <v>32542961</v>
      </c>
      <c r="M7" s="276">
        <f t="shared" si="0"/>
        <v>5200000</v>
      </c>
      <c r="N7" s="276">
        <f t="shared" si="0"/>
        <v>0</v>
      </c>
      <c r="O7" s="276">
        <f t="shared" si="0"/>
        <v>0</v>
      </c>
      <c r="P7" s="91"/>
      <c r="Q7" s="884">
        <f t="shared" si="0"/>
        <v>0</v>
      </c>
      <c r="R7" s="276">
        <f t="shared" si="0"/>
        <v>0</v>
      </c>
      <c r="S7" s="276"/>
      <c r="T7" s="276">
        <f t="shared" si="0"/>
        <v>0</v>
      </c>
      <c r="U7" s="276">
        <f t="shared" si="0"/>
        <v>0</v>
      </c>
      <c r="V7" s="276"/>
      <c r="W7" s="276">
        <f t="shared" si="0"/>
        <v>0</v>
      </c>
      <c r="X7" s="276">
        <f t="shared" si="0"/>
        <v>0</v>
      </c>
      <c r="Y7" s="276"/>
      <c r="Z7" s="276">
        <f t="shared" si="0"/>
        <v>1594350</v>
      </c>
      <c r="AA7" s="276">
        <f t="shared" si="0"/>
        <v>8875303</v>
      </c>
      <c r="AB7" s="276">
        <f t="shared" si="0"/>
        <v>1404000</v>
      </c>
      <c r="AC7" s="884">
        <f>SUM(AC8:AC9)</f>
        <v>0</v>
      </c>
      <c r="AD7" s="276">
        <f>SUM(AD8:AD9)</f>
        <v>41418264</v>
      </c>
      <c r="AE7" s="276">
        <f>SUM(AE8:AE9)</f>
        <v>0</v>
      </c>
      <c r="AF7" s="276">
        <f t="shared" si="0"/>
        <v>0</v>
      </c>
      <c r="AG7" s="276">
        <f t="shared" si="0"/>
        <v>0</v>
      </c>
      <c r="AH7" s="277"/>
      <c r="AI7" s="918"/>
      <c r="AK7" s="918"/>
      <c r="AL7" s="918">
        <f>+G7/1.27</f>
        <v>5200000</v>
      </c>
      <c r="AM7" s="918">
        <f>+G7-AL7</f>
        <v>1404000</v>
      </c>
      <c r="AN7" s="918">
        <f>+AB7-AM7</f>
        <v>0</v>
      </c>
    </row>
    <row r="8" spans="1:40" ht="48.75" customHeight="1" x14ac:dyDescent="0.2">
      <c r="A8" s="897" t="s">
        <v>985</v>
      </c>
      <c r="B8" s="289" t="s">
        <v>548</v>
      </c>
      <c r="C8" s="613" t="s">
        <v>2183</v>
      </c>
      <c r="D8" s="919"/>
      <c r="E8" s="891">
        <f>+H8+K8+N8+Q8+T8+W8+Z8</f>
        <v>7499350</v>
      </c>
      <c r="F8" s="891">
        <f>+I8+L8+O8+R8+U8+X8+AA8</f>
        <v>41418264</v>
      </c>
      <c r="G8" s="891">
        <f>+J8+M8+P8+S8+V8+Y8+AB8</f>
        <v>6604000</v>
      </c>
      <c r="H8" s="112"/>
      <c r="I8" s="112"/>
      <c r="J8" s="112"/>
      <c r="K8" s="112">
        <f>+(5290000)+615000</f>
        <v>5905000</v>
      </c>
      <c r="L8" s="112">
        <v>32542961</v>
      </c>
      <c r="M8" s="112">
        <v>5200000</v>
      </c>
      <c r="N8" s="112"/>
      <c r="O8" s="112"/>
      <c r="P8" s="63"/>
      <c r="Q8" s="892"/>
      <c r="R8" s="112"/>
      <c r="S8" s="112"/>
      <c r="T8" s="112"/>
      <c r="U8" s="112"/>
      <c r="V8" s="112"/>
      <c r="W8" s="112"/>
      <c r="X8" s="112"/>
      <c r="Y8" s="112"/>
      <c r="Z8" s="112">
        <f>+(1428300)+166050</f>
        <v>1594350</v>
      </c>
      <c r="AA8" s="112">
        <v>8875303</v>
      </c>
      <c r="AB8" s="63">
        <v>1404000</v>
      </c>
      <c r="AC8" s="973">
        <f>+F8-AD8-AE8-AF8</f>
        <v>0</v>
      </c>
      <c r="AD8" s="124">
        <v>41418264</v>
      </c>
      <c r="AE8" s="112"/>
      <c r="AF8" s="288"/>
      <c r="AG8" s="288"/>
      <c r="AH8" s="63" t="s">
        <v>225</v>
      </c>
      <c r="AJ8" s="918"/>
      <c r="AK8" s="918"/>
      <c r="AL8" s="918">
        <f t="shared" ref="AL8:AL78" si="1">+G8/1.27</f>
        <v>5200000</v>
      </c>
      <c r="AM8" s="918">
        <f t="shared" ref="AM8:AM78" si="2">+G8-AL8</f>
        <v>1404000</v>
      </c>
      <c r="AN8" s="918">
        <f t="shared" ref="AN8:AN78" si="3">+AB8-AM8</f>
        <v>0</v>
      </c>
    </row>
    <row r="9" spans="1:40" s="9" customFormat="1" ht="24" customHeight="1" x14ac:dyDescent="0.2">
      <c r="A9" s="920"/>
      <c r="B9" s="921"/>
      <c r="C9" s="607"/>
      <c r="D9" s="145"/>
      <c r="E9" s="143">
        <f>H9+K9+N9+Q9+Z9+T9+W9</f>
        <v>0</v>
      </c>
      <c r="F9" s="143">
        <f>I9+L9+O9+R9+AA9+U9+X9</f>
        <v>0</v>
      </c>
      <c r="G9" s="143"/>
      <c r="H9" s="143"/>
      <c r="I9" s="113"/>
      <c r="J9" s="113"/>
      <c r="K9" s="113"/>
      <c r="L9" s="113"/>
      <c r="M9" s="113"/>
      <c r="N9" s="113"/>
      <c r="O9" s="113"/>
      <c r="P9" s="922"/>
      <c r="Q9" s="923"/>
      <c r="R9" s="924"/>
      <c r="S9" s="924"/>
      <c r="T9" s="143"/>
      <c r="U9" s="143"/>
      <c r="V9" s="143"/>
      <c r="W9" s="143"/>
      <c r="X9" s="143"/>
      <c r="Y9" s="143"/>
      <c r="Z9" s="143"/>
      <c r="AA9" s="143"/>
      <c r="AB9" s="162"/>
      <c r="AC9" s="974">
        <f>+F9-AD9-AE9-AF9</f>
        <v>0</v>
      </c>
      <c r="AD9" s="141"/>
      <c r="AE9" s="285"/>
      <c r="AF9" s="285"/>
      <c r="AG9" s="285"/>
      <c r="AH9" s="585"/>
      <c r="AI9" s="918"/>
      <c r="AK9" s="918"/>
      <c r="AL9" s="918">
        <f t="shared" si="1"/>
        <v>0</v>
      </c>
      <c r="AM9" s="918">
        <f t="shared" si="2"/>
        <v>0</v>
      </c>
      <c r="AN9" s="918">
        <f t="shared" si="3"/>
        <v>0</v>
      </c>
    </row>
    <row r="10" spans="1:40" s="9" customFormat="1" ht="21.75" customHeight="1" x14ac:dyDescent="0.2">
      <c r="A10" s="925" t="s">
        <v>17</v>
      </c>
      <c r="B10" s="926"/>
      <c r="C10" s="691"/>
      <c r="D10" s="687"/>
      <c r="E10" s="276">
        <f>SUM(E11:E27)</f>
        <v>270974377</v>
      </c>
      <c r="F10" s="276">
        <f>SUM(F11:F27)</f>
        <v>373209296</v>
      </c>
      <c r="G10" s="276">
        <f>SUM(G11:G27)</f>
        <v>254271377</v>
      </c>
      <c r="H10" s="276">
        <f t="shared" ref="H10:AG10" si="4">SUM(H11:H27)</f>
        <v>0</v>
      </c>
      <c r="I10" s="276">
        <f t="shared" si="4"/>
        <v>0</v>
      </c>
      <c r="J10" s="276">
        <f t="shared" si="4"/>
        <v>0</v>
      </c>
      <c r="K10" s="276">
        <f t="shared" si="4"/>
        <v>213862446</v>
      </c>
      <c r="L10" s="276">
        <f>SUM(L11:L27)</f>
        <v>320804311</v>
      </c>
      <c r="M10" s="276">
        <f>SUM(M11:M27)</f>
        <v>227152407</v>
      </c>
      <c r="N10" s="276">
        <f t="shared" si="4"/>
        <v>0</v>
      </c>
      <c r="O10" s="276">
        <f t="shared" si="4"/>
        <v>0</v>
      </c>
      <c r="P10" s="91">
        <f t="shared" si="4"/>
        <v>0</v>
      </c>
      <c r="Q10" s="884">
        <f t="shared" si="4"/>
        <v>0</v>
      </c>
      <c r="R10" s="276">
        <f t="shared" si="4"/>
        <v>0</v>
      </c>
      <c r="S10" s="276">
        <f t="shared" si="4"/>
        <v>0</v>
      </c>
      <c r="T10" s="276">
        <f t="shared" si="4"/>
        <v>0</v>
      </c>
      <c r="U10" s="276">
        <f t="shared" si="4"/>
        <v>0</v>
      </c>
      <c r="V10" s="276">
        <f t="shared" si="4"/>
        <v>0</v>
      </c>
      <c r="W10" s="276">
        <f t="shared" si="4"/>
        <v>0</v>
      </c>
      <c r="X10" s="276">
        <f t="shared" si="4"/>
        <v>0</v>
      </c>
      <c r="Y10" s="276">
        <f t="shared" si="4"/>
        <v>0</v>
      </c>
      <c r="Z10" s="276">
        <f t="shared" si="4"/>
        <v>57111931</v>
      </c>
      <c r="AA10" s="91">
        <f>SUM(AA11:AA27)</f>
        <v>52404985</v>
      </c>
      <c r="AB10" s="91">
        <f>SUM(AB11:AB27)</f>
        <v>27118970</v>
      </c>
      <c r="AC10" s="884">
        <f>SUM(AC11:AC27)</f>
        <v>373209296</v>
      </c>
      <c r="AD10" s="276">
        <f t="shared" si="4"/>
        <v>0</v>
      </c>
      <c r="AE10" s="276">
        <f t="shared" si="4"/>
        <v>0</v>
      </c>
      <c r="AF10" s="276">
        <f t="shared" si="4"/>
        <v>0</v>
      </c>
      <c r="AG10" s="276">
        <f t="shared" si="4"/>
        <v>153879500</v>
      </c>
      <c r="AH10" s="91"/>
      <c r="AJ10" s="918">
        <f>SUM(AC10:AG10)</f>
        <v>527088796</v>
      </c>
      <c r="AK10" s="918">
        <f>+AJ10-E10</f>
        <v>256114419</v>
      </c>
      <c r="AL10" s="918">
        <f t="shared" si="1"/>
        <v>200213682.67716536</v>
      </c>
      <c r="AM10" s="918">
        <f t="shared" si="2"/>
        <v>54057694.322834641</v>
      </c>
      <c r="AN10" s="918">
        <f t="shared" si="3"/>
        <v>-26938724.322834641</v>
      </c>
    </row>
    <row r="11" spans="1:40" ht="29.25" customHeight="1" x14ac:dyDescent="0.2">
      <c r="A11" s="927" t="s">
        <v>124</v>
      </c>
      <c r="B11" s="352" t="s">
        <v>548</v>
      </c>
      <c r="C11" s="283" t="s">
        <v>918</v>
      </c>
      <c r="D11" s="928"/>
      <c r="E11" s="887">
        <f t="shared" ref="E11:G12" si="5">+H11+K11+N11+Q11+T11+W11+Z11</f>
        <v>10000000</v>
      </c>
      <c r="F11" s="887">
        <f t="shared" si="5"/>
        <v>0</v>
      </c>
      <c r="G11" s="887">
        <f t="shared" si="5"/>
        <v>0</v>
      </c>
      <c r="H11" s="308"/>
      <c r="I11" s="308"/>
      <c r="J11" s="308"/>
      <c r="K11" s="308">
        <v>7874016</v>
      </c>
      <c r="L11" s="308">
        <v>0</v>
      </c>
      <c r="M11" s="308"/>
      <c r="N11" s="308"/>
      <c r="O11" s="308"/>
      <c r="P11" s="309"/>
      <c r="Q11" s="888"/>
      <c r="R11" s="308"/>
      <c r="S11" s="308"/>
      <c r="T11" s="308"/>
      <c r="U11" s="308"/>
      <c r="V11" s="308"/>
      <c r="W11" s="308"/>
      <c r="X11" s="308"/>
      <c r="Y11" s="308"/>
      <c r="Z11" s="308">
        <v>2125984</v>
      </c>
      <c r="AA11" s="308">
        <v>0</v>
      </c>
      <c r="AB11" s="309"/>
      <c r="AC11" s="975">
        <f>+F11-AD11-AE11-AF11</f>
        <v>0</v>
      </c>
      <c r="AD11" s="365"/>
      <c r="AE11" s="284"/>
      <c r="AF11" s="365"/>
      <c r="AG11" s="365">
        <v>20000000</v>
      </c>
      <c r="AH11" s="309" t="s">
        <v>225</v>
      </c>
      <c r="AJ11" s="918"/>
      <c r="AK11" s="918"/>
      <c r="AL11" s="918">
        <f t="shared" si="1"/>
        <v>0</v>
      </c>
      <c r="AM11" s="918">
        <f t="shared" si="2"/>
        <v>0</v>
      </c>
      <c r="AN11" s="918">
        <f t="shared" si="3"/>
        <v>0</v>
      </c>
    </row>
    <row r="12" spans="1:40" ht="31.5" customHeight="1" x14ac:dyDescent="0.2">
      <c r="A12" s="897" t="s">
        <v>124</v>
      </c>
      <c r="B12" s="289" t="s">
        <v>548</v>
      </c>
      <c r="C12" s="613" t="s">
        <v>1486</v>
      </c>
      <c r="D12" s="919"/>
      <c r="E12" s="891">
        <f t="shared" si="5"/>
        <v>0</v>
      </c>
      <c r="F12" s="891">
        <f t="shared" si="5"/>
        <v>5651500</v>
      </c>
      <c r="G12" s="891">
        <f t="shared" si="5"/>
        <v>5651500</v>
      </c>
      <c r="H12" s="112"/>
      <c r="I12" s="112"/>
      <c r="J12" s="112"/>
      <c r="K12" s="112"/>
      <c r="L12" s="112">
        <v>4450000</v>
      </c>
      <c r="M12" s="112">
        <v>4450000</v>
      </c>
      <c r="N12" s="112"/>
      <c r="O12" s="112"/>
      <c r="P12" s="63"/>
      <c r="Q12" s="892"/>
      <c r="R12" s="112"/>
      <c r="S12" s="112"/>
      <c r="T12" s="112"/>
      <c r="U12" s="112"/>
      <c r="V12" s="112"/>
      <c r="W12" s="112"/>
      <c r="X12" s="112"/>
      <c r="Y12" s="112"/>
      <c r="Z12" s="112"/>
      <c r="AA12" s="112">
        <v>1201500</v>
      </c>
      <c r="AB12" s="63">
        <v>1201500</v>
      </c>
      <c r="AC12" s="976">
        <f t="shared" ref="AC12:AC77" si="6">+F12-AD12-AE12-AF12</f>
        <v>5651500</v>
      </c>
      <c r="AD12" s="288"/>
      <c r="AE12" s="124"/>
      <c r="AF12" s="288"/>
      <c r="AG12" s="288"/>
      <c r="AH12" s="63" t="s">
        <v>225</v>
      </c>
      <c r="AJ12" s="918"/>
      <c r="AK12" s="918"/>
      <c r="AL12" s="918">
        <f t="shared" si="1"/>
        <v>4450000</v>
      </c>
      <c r="AM12" s="918">
        <f t="shared" si="2"/>
        <v>1201500</v>
      </c>
      <c r="AN12" s="918">
        <f t="shared" si="3"/>
        <v>0</v>
      </c>
    </row>
    <row r="13" spans="1:40" ht="29.25" customHeight="1" x14ac:dyDescent="0.2">
      <c r="A13" s="897" t="s">
        <v>124</v>
      </c>
      <c r="B13" s="289" t="s">
        <v>548</v>
      </c>
      <c r="C13" s="613" t="s">
        <v>945</v>
      </c>
      <c r="D13" s="919"/>
      <c r="E13" s="891">
        <f t="shared" ref="E13:E27" si="7">+H13+K13+N13+Q13+T13+W13+Z13</f>
        <v>15000000</v>
      </c>
      <c r="F13" s="891">
        <f>+I13+L13+O13+R13+U13+X13+AA13</f>
        <v>0</v>
      </c>
      <c r="G13" s="891">
        <f>+J13+M13+P13+S13+V13+Y13+AB13</f>
        <v>0</v>
      </c>
      <c r="H13" s="112"/>
      <c r="I13" s="112"/>
      <c r="J13" s="112"/>
      <c r="K13" s="112">
        <v>11811024</v>
      </c>
      <c r="L13" s="112">
        <v>0</v>
      </c>
      <c r="M13" s="112"/>
      <c r="N13" s="112"/>
      <c r="O13" s="112"/>
      <c r="P13" s="63"/>
      <c r="Q13" s="892"/>
      <c r="R13" s="112"/>
      <c r="S13" s="112"/>
      <c r="T13" s="112"/>
      <c r="U13" s="112"/>
      <c r="V13" s="112"/>
      <c r="W13" s="112"/>
      <c r="X13" s="112"/>
      <c r="Y13" s="112"/>
      <c r="Z13" s="112">
        <v>3188976</v>
      </c>
      <c r="AA13" s="112">
        <v>0</v>
      </c>
      <c r="AB13" s="63"/>
      <c r="AC13" s="976">
        <f t="shared" si="6"/>
        <v>0</v>
      </c>
      <c r="AD13" s="288"/>
      <c r="AE13" s="124"/>
      <c r="AF13" s="288"/>
      <c r="AG13" s="288"/>
      <c r="AH13" s="63" t="s">
        <v>225</v>
      </c>
      <c r="AJ13" s="918"/>
      <c r="AK13" s="918"/>
      <c r="AL13" s="918">
        <f t="shared" si="1"/>
        <v>0</v>
      </c>
      <c r="AM13" s="918">
        <f t="shared" si="2"/>
        <v>0</v>
      </c>
      <c r="AN13" s="918">
        <f t="shared" si="3"/>
        <v>0</v>
      </c>
    </row>
    <row r="14" spans="1:40" ht="29.25" customHeight="1" x14ac:dyDescent="0.2">
      <c r="A14" s="897" t="s">
        <v>124</v>
      </c>
      <c r="B14" s="289" t="s">
        <v>548</v>
      </c>
      <c r="C14" s="613" t="s">
        <v>994</v>
      </c>
      <c r="D14" s="919"/>
      <c r="E14" s="891">
        <f t="shared" si="7"/>
        <v>97155000</v>
      </c>
      <c r="F14" s="891">
        <f>+I14+L14+O14+R14+U14+X14+AA14</f>
        <v>76780000</v>
      </c>
      <c r="G14" s="891">
        <f>+J14+M14+P14+S14+V14+Y14+AB14</f>
        <v>76780000</v>
      </c>
      <c r="H14" s="112"/>
      <c r="I14" s="112"/>
      <c r="J14" s="112"/>
      <c r="K14" s="112">
        <f>(75000000+1500000)</f>
        <v>76500000</v>
      </c>
      <c r="L14" s="112">
        <f>(75000000+1500000)-76531-49343+874</f>
        <v>76375000</v>
      </c>
      <c r="M14" s="112">
        <f>74875000+1500000</f>
        <v>76375000</v>
      </c>
      <c r="N14" s="112"/>
      <c r="O14" s="112"/>
      <c r="P14" s="63"/>
      <c r="Q14" s="892"/>
      <c r="R14" s="112"/>
      <c r="S14" s="112"/>
      <c r="T14" s="112"/>
      <c r="U14" s="112"/>
      <c r="V14" s="112"/>
      <c r="W14" s="112"/>
      <c r="X14" s="112"/>
      <c r="Y14" s="112"/>
      <c r="Z14" s="112">
        <f>(20250000+405000)</f>
        <v>20655000</v>
      </c>
      <c r="AA14" s="112">
        <f>(20250000+405000)-20250000</f>
        <v>405000</v>
      </c>
      <c r="AB14" s="63">
        <v>405000</v>
      </c>
      <c r="AC14" s="976">
        <f t="shared" si="6"/>
        <v>76780000</v>
      </c>
      <c r="AD14" s="288"/>
      <c r="AE14" s="124"/>
      <c r="AF14" s="288"/>
      <c r="AG14" s="288"/>
      <c r="AH14" s="63" t="s">
        <v>225</v>
      </c>
      <c r="AJ14" s="918"/>
      <c r="AK14" s="918"/>
      <c r="AL14" s="918">
        <f t="shared" si="1"/>
        <v>60456692.913385823</v>
      </c>
      <c r="AM14" s="918">
        <f t="shared" si="2"/>
        <v>16323307.086614177</v>
      </c>
      <c r="AN14" s="918">
        <f t="shared" si="3"/>
        <v>-15918307.086614177</v>
      </c>
    </row>
    <row r="15" spans="1:40" ht="29.25" customHeight="1" x14ac:dyDescent="0.2">
      <c r="A15" s="897" t="s">
        <v>124</v>
      </c>
      <c r="B15" s="289" t="s">
        <v>548</v>
      </c>
      <c r="C15" s="613" t="s">
        <v>997</v>
      </c>
      <c r="D15" s="919"/>
      <c r="E15" s="891">
        <f t="shared" si="7"/>
        <v>2336777</v>
      </c>
      <c r="F15" s="891">
        <f t="shared" ref="F15:F27" si="8">+I15+L15+O15+R15+U15+X15+AA15</f>
        <v>2336777</v>
      </c>
      <c r="G15" s="891">
        <f t="shared" ref="G15:G27" si="9">+J15+M15+P15+S15+V15+Y15+AB15</f>
        <v>2336777</v>
      </c>
      <c r="H15" s="112"/>
      <c r="I15" s="112"/>
      <c r="J15" s="112"/>
      <c r="K15" s="112">
        <v>2336777</v>
      </c>
      <c r="L15" s="112">
        <v>2336777</v>
      </c>
      <c r="M15" s="112">
        <v>2336777</v>
      </c>
      <c r="N15" s="112"/>
      <c r="O15" s="112"/>
      <c r="P15" s="63"/>
      <c r="Q15" s="892"/>
      <c r="R15" s="112"/>
      <c r="S15" s="112"/>
      <c r="T15" s="112"/>
      <c r="U15" s="112"/>
      <c r="V15" s="112"/>
      <c r="W15" s="112"/>
      <c r="X15" s="112"/>
      <c r="Y15" s="112"/>
      <c r="Z15" s="112"/>
      <c r="AA15" s="112"/>
      <c r="AB15" s="63"/>
      <c r="AC15" s="976">
        <f t="shared" si="6"/>
        <v>2336777</v>
      </c>
      <c r="AD15" s="288"/>
      <c r="AE15" s="124"/>
      <c r="AF15" s="288"/>
      <c r="AG15" s="288"/>
      <c r="AH15" s="63" t="s">
        <v>225</v>
      </c>
      <c r="AJ15" s="918"/>
      <c r="AK15" s="918"/>
      <c r="AL15" s="918">
        <f t="shared" si="1"/>
        <v>1839981.8897637795</v>
      </c>
      <c r="AM15" s="918">
        <f t="shared" si="2"/>
        <v>496795.11023622053</v>
      </c>
      <c r="AN15" s="918">
        <f t="shared" si="3"/>
        <v>-496795.11023622053</v>
      </c>
    </row>
    <row r="16" spans="1:40" ht="29.25" customHeight="1" x14ac:dyDescent="0.2">
      <c r="A16" s="897" t="s">
        <v>124</v>
      </c>
      <c r="B16" s="289" t="s">
        <v>548</v>
      </c>
      <c r="C16" s="613" t="s">
        <v>919</v>
      </c>
      <c r="D16" s="919"/>
      <c r="E16" s="891">
        <f t="shared" si="7"/>
        <v>5000000</v>
      </c>
      <c r="F16" s="891">
        <f t="shared" si="8"/>
        <v>937918</v>
      </c>
      <c r="G16" s="891">
        <f t="shared" si="9"/>
        <v>0</v>
      </c>
      <c r="H16" s="112"/>
      <c r="I16" s="112"/>
      <c r="J16" s="112"/>
      <c r="K16" s="112">
        <v>3937008</v>
      </c>
      <c r="L16" s="112">
        <v>738518</v>
      </c>
      <c r="M16" s="112"/>
      <c r="N16" s="112"/>
      <c r="O16" s="112"/>
      <c r="P16" s="63"/>
      <c r="Q16" s="892"/>
      <c r="R16" s="112"/>
      <c r="S16" s="112"/>
      <c r="T16" s="112"/>
      <c r="U16" s="112"/>
      <c r="V16" s="112"/>
      <c r="W16" s="112"/>
      <c r="X16" s="112"/>
      <c r="Y16" s="112"/>
      <c r="Z16" s="112">
        <v>1062992</v>
      </c>
      <c r="AA16" s="112">
        <v>199400</v>
      </c>
      <c r="AB16" s="63"/>
      <c r="AC16" s="976">
        <f t="shared" si="6"/>
        <v>937918</v>
      </c>
      <c r="AD16" s="288"/>
      <c r="AE16" s="124"/>
      <c r="AF16" s="288"/>
      <c r="AG16" s="288"/>
      <c r="AH16" s="63" t="s">
        <v>225</v>
      </c>
      <c r="AJ16" s="918"/>
      <c r="AK16" s="918"/>
      <c r="AL16" s="918">
        <f t="shared" si="1"/>
        <v>0</v>
      </c>
      <c r="AM16" s="918">
        <f t="shared" si="2"/>
        <v>0</v>
      </c>
      <c r="AN16" s="918">
        <f t="shared" si="3"/>
        <v>0</v>
      </c>
    </row>
    <row r="17" spans="1:40" ht="29.25" customHeight="1" x14ac:dyDescent="0.2">
      <c r="A17" s="897" t="s">
        <v>124</v>
      </c>
      <c r="B17" s="289" t="s">
        <v>548</v>
      </c>
      <c r="C17" s="613" t="s">
        <v>920</v>
      </c>
      <c r="D17" s="919"/>
      <c r="E17" s="891">
        <f t="shared" si="7"/>
        <v>0</v>
      </c>
      <c r="F17" s="891">
        <f t="shared" si="8"/>
        <v>14465300</v>
      </c>
      <c r="G17" s="891">
        <f t="shared" si="9"/>
        <v>14465300</v>
      </c>
      <c r="H17" s="112"/>
      <c r="I17" s="112"/>
      <c r="J17" s="112"/>
      <c r="K17" s="112"/>
      <c r="L17" s="112">
        <f>7874016+3515984</f>
        <v>11390000</v>
      </c>
      <c r="M17" s="112">
        <v>11390000</v>
      </c>
      <c r="N17" s="112"/>
      <c r="O17" s="112"/>
      <c r="P17" s="63"/>
      <c r="Q17" s="892"/>
      <c r="R17" s="112"/>
      <c r="S17" s="112"/>
      <c r="T17" s="112"/>
      <c r="U17" s="112"/>
      <c r="V17" s="112"/>
      <c r="W17" s="112"/>
      <c r="X17" s="112"/>
      <c r="Y17" s="112"/>
      <c r="Z17" s="112"/>
      <c r="AA17" s="112">
        <f>2125984+949316</f>
        <v>3075300</v>
      </c>
      <c r="AB17" s="63">
        <v>3075300</v>
      </c>
      <c r="AC17" s="976">
        <f t="shared" si="6"/>
        <v>14465300</v>
      </c>
      <c r="AD17" s="288"/>
      <c r="AE17" s="124"/>
      <c r="AF17" s="288"/>
      <c r="AG17" s="288">
        <f>20000000-10000000-4465300</f>
        <v>5534700</v>
      </c>
      <c r="AH17" s="63" t="s">
        <v>225</v>
      </c>
      <c r="AJ17" s="918"/>
      <c r="AK17" s="918"/>
      <c r="AL17" s="918">
        <f t="shared" si="1"/>
        <v>11390000</v>
      </c>
      <c r="AM17" s="918">
        <f t="shared" si="2"/>
        <v>3075300</v>
      </c>
      <c r="AN17" s="918">
        <f t="shared" si="3"/>
        <v>0</v>
      </c>
    </row>
    <row r="18" spans="1:40" ht="29.25" customHeight="1" x14ac:dyDescent="0.2">
      <c r="A18" s="897" t="s">
        <v>124</v>
      </c>
      <c r="B18" s="289" t="s">
        <v>548</v>
      </c>
      <c r="C18" s="613" t="s">
        <v>800</v>
      </c>
      <c r="D18" s="919"/>
      <c r="E18" s="891">
        <f t="shared" si="7"/>
        <v>6000000</v>
      </c>
      <c r="F18" s="891">
        <f t="shared" si="8"/>
        <v>4405055</v>
      </c>
      <c r="G18" s="891">
        <f t="shared" si="9"/>
        <v>4405055</v>
      </c>
      <c r="H18" s="112"/>
      <c r="I18" s="112"/>
      <c r="J18" s="112"/>
      <c r="K18" s="112">
        <v>4724409</v>
      </c>
      <c r="L18" s="112">
        <v>3468547</v>
      </c>
      <c r="M18" s="112">
        <f>3126867+188000+153680</f>
        <v>3468547</v>
      </c>
      <c r="N18" s="112"/>
      <c r="O18" s="112"/>
      <c r="P18" s="63"/>
      <c r="Q18" s="892"/>
      <c r="R18" s="112"/>
      <c r="S18" s="112"/>
      <c r="T18" s="112"/>
      <c r="U18" s="112"/>
      <c r="V18" s="112"/>
      <c r="W18" s="112"/>
      <c r="X18" s="112"/>
      <c r="Y18" s="112"/>
      <c r="Z18" s="112">
        <v>1275591</v>
      </c>
      <c r="AA18" s="112">
        <v>936508</v>
      </c>
      <c r="AB18" s="63">
        <f>844254+50760+41494</f>
        <v>936508</v>
      </c>
      <c r="AC18" s="976">
        <f t="shared" si="6"/>
        <v>4405055</v>
      </c>
      <c r="AD18" s="288"/>
      <c r="AE18" s="124"/>
      <c r="AF18" s="288"/>
      <c r="AG18" s="288">
        <v>6000000</v>
      </c>
      <c r="AH18" s="63" t="s">
        <v>225</v>
      </c>
      <c r="AJ18" s="918"/>
      <c r="AK18" s="918"/>
      <c r="AL18" s="918">
        <f t="shared" si="1"/>
        <v>3468547.2440944882</v>
      </c>
      <c r="AM18" s="918">
        <f t="shared" si="2"/>
        <v>936507.75590551179</v>
      </c>
      <c r="AN18" s="918">
        <f t="shared" si="3"/>
        <v>0.24409448821097612</v>
      </c>
    </row>
    <row r="19" spans="1:40" ht="29.25" customHeight="1" x14ac:dyDescent="0.2">
      <c r="A19" s="897" t="s">
        <v>124</v>
      </c>
      <c r="B19" s="289" t="s">
        <v>548</v>
      </c>
      <c r="C19" s="613" t="s">
        <v>921</v>
      </c>
      <c r="D19" s="919"/>
      <c r="E19" s="891">
        <f t="shared" si="7"/>
        <v>50000000</v>
      </c>
      <c r="F19" s="891">
        <f t="shared" si="8"/>
        <v>64960500</v>
      </c>
      <c r="G19" s="891">
        <f t="shared" si="9"/>
        <v>64960500</v>
      </c>
      <c r="H19" s="112"/>
      <c r="I19" s="112"/>
      <c r="J19" s="112"/>
      <c r="K19" s="112">
        <v>39370079</v>
      </c>
      <c r="L19" s="112">
        <f>39370079+4200000+5629921+1950000</f>
        <v>51150000</v>
      </c>
      <c r="M19" s="112">
        <f>4200000+45000000+1950000</f>
        <v>51150000</v>
      </c>
      <c r="N19" s="112"/>
      <c r="O19" s="112"/>
      <c r="P19" s="63"/>
      <c r="Q19" s="892"/>
      <c r="R19" s="112"/>
      <c r="S19" s="112"/>
      <c r="T19" s="112"/>
      <c r="U19" s="112"/>
      <c r="V19" s="112"/>
      <c r="W19" s="112"/>
      <c r="X19" s="112"/>
      <c r="Y19" s="112"/>
      <c r="Z19" s="112">
        <v>10629921</v>
      </c>
      <c r="AA19" s="112">
        <f>10629921+1134000+1520079+526500</f>
        <v>13810500</v>
      </c>
      <c r="AB19" s="63">
        <f>1134000+12150000+526500</f>
        <v>13810500</v>
      </c>
      <c r="AC19" s="976">
        <f t="shared" si="6"/>
        <v>64960500</v>
      </c>
      <c r="AD19" s="288"/>
      <c r="AE19" s="124"/>
      <c r="AF19" s="288"/>
      <c r="AG19" s="288">
        <f>100000000-12848000</f>
        <v>87152000</v>
      </c>
      <c r="AH19" s="63" t="s">
        <v>225</v>
      </c>
      <c r="AJ19" s="918"/>
      <c r="AK19" s="918"/>
      <c r="AL19" s="918">
        <f t="shared" si="1"/>
        <v>51150000</v>
      </c>
      <c r="AM19" s="918">
        <f t="shared" si="2"/>
        <v>13810500</v>
      </c>
      <c r="AN19" s="918">
        <f t="shared" si="3"/>
        <v>0</v>
      </c>
    </row>
    <row r="20" spans="1:40" ht="29.25" customHeight="1" x14ac:dyDescent="0.2">
      <c r="A20" s="897" t="s">
        <v>124</v>
      </c>
      <c r="B20" s="289" t="s">
        <v>548</v>
      </c>
      <c r="C20" s="613" t="s">
        <v>974</v>
      </c>
      <c r="D20" s="919"/>
      <c r="E20" s="891">
        <f t="shared" si="7"/>
        <v>20000000</v>
      </c>
      <c r="F20" s="891">
        <f t="shared" si="8"/>
        <v>19996618</v>
      </c>
      <c r="G20" s="891">
        <f t="shared" si="9"/>
        <v>19996617</v>
      </c>
      <c r="H20" s="112"/>
      <c r="I20" s="112"/>
      <c r="J20" s="112"/>
      <c r="K20" s="112">
        <v>15748031</v>
      </c>
      <c r="L20" s="112">
        <v>15745368</v>
      </c>
      <c r="M20" s="112">
        <v>15745368</v>
      </c>
      <c r="N20" s="112"/>
      <c r="O20" s="112"/>
      <c r="P20" s="63"/>
      <c r="Q20" s="892"/>
      <c r="R20" s="112"/>
      <c r="S20" s="112"/>
      <c r="T20" s="112"/>
      <c r="U20" s="112"/>
      <c r="V20" s="112"/>
      <c r="W20" s="112"/>
      <c r="X20" s="112"/>
      <c r="Y20" s="112"/>
      <c r="Z20" s="112">
        <v>4251969</v>
      </c>
      <c r="AA20" s="112">
        <v>4251250</v>
      </c>
      <c r="AB20" s="63">
        <v>4251249</v>
      </c>
      <c r="AC20" s="976">
        <f t="shared" si="6"/>
        <v>19996618</v>
      </c>
      <c r="AD20" s="288"/>
      <c r="AE20" s="124"/>
      <c r="AF20" s="288"/>
      <c r="AG20" s="288"/>
      <c r="AH20" s="63" t="s">
        <v>225</v>
      </c>
      <c r="AJ20" s="918"/>
      <c r="AK20" s="918"/>
      <c r="AL20" s="918">
        <f t="shared" si="1"/>
        <v>15745367.716535432</v>
      </c>
      <c r="AM20" s="918">
        <f t="shared" si="2"/>
        <v>4251249.2834645677</v>
      </c>
      <c r="AN20" s="918">
        <f t="shared" si="3"/>
        <v>-0.28346456773579121</v>
      </c>
    </row>
    <row r="21" spans="1:40" ht="29.25" customHeight="1" x14ac:dyDescent="0.2">
      <c r="A21" s="897" t="s">
        <v>124</v>
      </c>
      <c r="B21" s="289" t="s">
        <v>548</v>
      </c>
      <c r="C21" s="613" t="s">
        <v>922</v>
      </c>
      <c r="D21" s="919"/>
      <c r="E21" s="891">
        <f t="shared" si="7"/>
        <v>0</v>
      </c>
      <c r="F21" s="891">
        <f t="shared" si="8"/>
        <v>6807200</v>
      </c>
      <c r="G21" s="891">
        <f>+J21+M21+P21+S21+V21+Y21+AB21</f>
        <v>6807200</v>
      </c>
      <c r="H21" s="112"/>
      <c r="I21" s="112"/>
      <c r="J21" s="112"/>
      <c r="K21" s="112"/>
      <c r="L21" s="112">
        <f>218423+3974016+1167561</f>
        <v>5360000</v>
      </c>
      <c r="M21" s="112">
        <v>5360000</v>
      </c>
      <c r="N21" s="112"/>
      <c r="O21" s="112"/>
      <c r="P21" s="63"/>
      <c r="Q21" s="892"/>
      <c r="R21" s="112"/>
      <c r="S21" s="112"/>
      <c r="T21" s="112"/>
      <c r="U21" s="112"/>
      <c r="V21" s="112"/>
      <c r="W21" s="112"/>
      <c r="X21" s="112"/>
      <c r="Y21" s="112"/>
      <c r="Z21" s="112"/>
      <c r="AA21" s="112">
        <f>58975+1072984+315241</f>
        <v>1447200</v>
      </c>
      <c r="AB21" s="63">
        <v>1447200</v>
      </c>
      <c r="AC21" s="976">
        <f t="shared" si="6"/>
        <v>6807200</v>
      </c>
      <c r="AD21" s="288"/>
      <c r="AE21" s="124"/>
      <c r="AF21" s="288"/>
      <c r="AG21" s="288">
        <f>30000000-277398-5047000-1482802</f>
        <v>23192800</v>
      </c>
      <c r="AH21" s="63" t="s">
        <v>225</v>
      </c>
      <c r="AJ21" s="918"/>
      <c r="AK21" s="918"/>
      <c r="AL21" s="918">
        <f t="shared" si="1"/>
        <v>5360000</v>
      </c>
      <c r="AM21" s="918">
        <f t="shared" si="2"/>
        <v>1447200</v>
      </c>
      <c r="AN21" s="918">
        <f t="shared" si="3"/>
        <v>0</v>
      </c>
    </row>
    <row r="22" spans="1:40" ht="29.25" customHeight="1" x14ac:dyDescent="0.2">
      <c r="A22" s="897" t="s">
        <v>124</v>
      </c>
      <c r="B22" s="289" t="s">
        <v>548</v>
      </c>
      <c r="C22" s="613" t="s">
        <v>2174</v>
      </c>
      <c r="D22" s="919"/>
      <c r="E22" s="891">
        <f>+H22+K22+N22+Q22+T22+W22+Z22</f>
        <v>0</v>
      </c>
      <c r="F22" s="891">
        <f t="shared" si="8"/>
        <v>1879600</v>
      </c>
      <c r="G22" s="891">
        <f>+J22+M22+P22+S22+V22+Y22+AB22</f>
        <v>1879600</v>
      </c>
      <c r="H22" s="112"/>
      <c r="I22" s="112"/>
      <c r="J22" s="112"/>
      <c r="K22" s="112"/>
      <c r="L22" s="112">
        <v>1480000</v>
      </c>
      <c r="M22" s="112">
        <v>1480000</v>
      </c>
      <c r="N22" s="112"/>
      <c r="O22" s="112"/>
      <c r="P22" s="63"/>
      <c r="Q22" s="892"/>
      <c r="R22" s="112"/>
      <c r="S22" s="112"/>
      <c r="T22" s="112"/>
      <c r="U22" s="112"/>
      <c r="V22" s="112"/>
      <c r="W22" s="112"/>
      <c r="X22" s="112"/>
      <c r="Y22" s="112"/>
      <c r="Z22" s="112"/>
      <c r="AA22" s="112">
        <v>399600</v>
      </c>
      <c r="AB22" s="63">
        <v>399600</v>
      </c>
      <c r="AC22" s="976">
        <f t="shared" si="6"/>
        <v>1879600</v>
      </c>
      <c r="AD22" s="288"/>
      <c r="AE22" s="124"/>
      <c r="AF22" s="288"/>
      <c r="AG22" s="288"/>
      <c r="AH22" s="63"/>
      <c r="AJ22" s="918"/>
      <c r="AK22" s="918"/>
      <c r="AL22" s="918"/>
      <c r="AM22" s="918"/>
      <c r="AN22" s="918"/>
    </row>
    <row r="23" spans="1:40" ht="29.25" customHeight="1" x14ac:dyDescent="0.2">
      <c r="A23" s="897" t="s">
        <v>124</v>
      </c>
      <c r="B23" s="289" t="s">
        <v>548</v>
      </c>
      <c r="C23" s="613" t="s">
        <v>923</v>
      </c>
      <c r="D23" s="919"/>
      <c r="E23" s="891">
        <f t="shared" si="7"/>
        <v>0</v>
      </c>
      <c r="F23" s="891">
        <f t="shared" si="8"/>
        <v>0</v>
      </c>
      <c r="G23" s="891">
        <f t="shared" si="9"/>
        <v>0</v>
      </c>
      <c r="H23" s="112"/>
      <c r="I23" s="112"/>
      <c r="J23" s="112"/>
      <c r="K23" s="112"/>
      <c r="L23" s="112"/>
      <c r="M23" s="112"/>
      <c r="N23" s="112"/>
      <c r="O23" s="112"/>
      <c r="P23" s="63"/>
      <c r="Q23" s="892"/>
      <c r="R23" s="112"/>
      <c r="S23" s="112"/>
      <c r="T23" s="112"/>
      <c r="U23" s="112"/>
      <c r="V23" s="112"/>
      <c r="W23" s="112"/>
      <c r="X23" s="112"/>
      <c r="Y23" s="112"/>
      <c r="Z23" s="112"/>
      <c r="AA23" s="112"/>
      <c r="AB23" s="63"/>
      <c r="AC23" s="976">
        <f t="shared" si="6"/>
        <v>0</v>
      </c>
      <c r="AD23" s="288"/>
      <c r="AE23" s="124"/>
      <c r="AF23" s="288"/>
      <c r="AG23" s="288">
        <v>12000000</v>
      </c>
      <c r="AH23" s="63" t="s">
        <v>225</v>
      </c>
      <c r="AJ23" s="918"/>
      <c r="AK23" s="918"/>
      <c r="AL23" s="918">
        <f t="shared" si="1"/>
        <v>0</v>
      </c>
      <c r="AM23" s="918">
        <f t="shared" si="2"/>
        <v>0</v>
      </c>
      <c r="AN23" s="918">
        <f t="shared" si="3"/>
        <v>0</v>
      </c>
    </row>
    <row r="24" spans="1:40" ht="29.25" customHeight="1" x14ac:dyDescent="0.2">
      <c r="A24" s="897" t="s">
        <v>124</v>
      </c>
      <c r="B24" s="289" t="s">
        <v>548</v>
      </c>
      <c r="C24" s="613" t="s">
        <v>1046</v>
      </c>
      <c r="D24" s="919"/>
      <c r="E24" s="891">
        <f t="shared" si="7"/>
        <v>65482600</v>
      </c>
      <c r="F24" s="891">
        <f t="shared" si="8"/>
        <v>49982600</v>
      </c>
      <c r="G24" s="891">
        <f t="shared" si="9"/>
        <v>49982600</v>
      </c>
      <c r="H24" s="112"/>
      <c r="I24" s="112"/>
      <c r="J24" s="112"/>
      <c r="K24" s="112">
        <f>+(51181102)+380000</f>
        <v>51561102</v>
      </c>
      <c r="L24" s="112">
        <v>49880000</v>
      </c>
      <c r="M24" s="112">
        <f>380000+49500000</f>
        <v>49880000</v>
      </c>
      <c r="N24" s="112"/>
      <c r="O24" s="112"/>
      <c r="P24" s="63"/>
      <c r="Q24" s="892"/>
      <c r="R24" s="112"/>
      <c r="S24" s="112"/>
      <c r="T24" s="112"/>
      <c r="U24" s="112"/>
      <c r="V24" s="112"/>
      <c r="W24" s="112"/>
      <c r="X24" s="112"/>
      <c r="Y24" s="112"/>
      <c r="Z24" s="112">
        <f>+(13818898)+102600</f>
        <v>13921498</v>
      </c>
      <c r="AA24" s="112">
        <v>102600</v>
      </c>
      <c r="AB24" s="63">
        <v>102600</v>
      </c>
      <c r="AC24" s="976">
        <f t="shared" si="6"/>
        <v>49982600</v>
      </c>
      <c r="AD24" s="288"/>
      <c r="AE24" s="124"/>
      <c r="AF24" s="288"/>
      <c r="AG24" s="288"/>
      <c r="AH24" s="63" t="s">
        <v>225</v>
      </c>
      <c r="AJ24" s="918"/>
      <c r="AK24" s="918"/>
      <c r="AL24" s="918">
        <f t="shared" si="1"/>
        <v>39356377.952755906</v>
      </c>
      <c r="AM24" s="918">
        <f t="shared" si="2"/>
        <v>10626222.047244094</v>
      </c>
      <c r="AN24" s="918">
        <f t="shared" si="3"/>
        <v>-10523622.047244094</v>
      </c>
    </row>
    <row r="25" spans="1:40" ht="26.25" customHeight="1" x14ac:dyDescent="0.2">
      <c r="A25" s="897" t="s">
        <v>124</v>
      </c>
      <c r="B25" s="289" t="s">
        <v>548</v>
      </c>
      <c r="C25" s="613" t="s">
        <v>2190</v>
      </c>
      <c r="D25" s="919"/>
      <c r="E25" s="891">
        <f>+H25+K25+N25+Q25+T25+W25+Z25</f>
        <v>0</v>
      </c>
      <c r="F25" s="891">
        <f t="shared" si="8"/>
        <v>1342028</v>
      </c>
      <c r="G25" s="891">
        <f t="shared" si="9"/>
        <v>1342028</v>
      </c>
      <c r="H25" s="112"/>
      <c r="I25" s="112"/>
      <c r="J25" s="112"/>
      <c r="K25" s="112"/>
      <c r="L25" s="112">
        <v>1056715</v>
      </c>
      <c r="M25" s="112">
        <v>1056715</v>
      </c>
      <c r="N25" s="112"/>
      <c r="O25" s="112"/>
      <c r="P25" s="63"/>
      <c r="Q25" s="892"/>
      <c r="R25" s="112"/>
      <c r="S25" s="112"/>
      <c r="T25" s="112"/>
      <c r="U25" s="112"/>
      <c r="V25" s="112"/>
      <c r="W25" s="112"/>
      <c r="X25" s="112"/>
      <c r="Y25" s="112"/>
      <c r="Z25" s="112"/>
      <c r="AA25" s="112">
        <v>285313</v>
      </c>
      <c r="AB25" s="63">
        <v>285313</v>
      </c>
      <c r="AC25" s="976">
        <f t="shared" si="6"/>
        <v>1342028</v>
      </c>
      <c r="AD25" s="288"/>
      <c r="AE25" s="124"/>
      <c r="AF25" s="288"/>
      <c r="AG25" s="288"/>
      <c r="AH25" s="63" t="s">
        <v>225</v>
      </c>
      <c r="AJ25" s="918"/>
      <c r="AK25" s="918"/>
      <c r="AL25" s="918">
        <f t="shared" si="1"/>
        <v>1056714.9606299212</v>
      </c>
      <c r="AM25" s="918">
        <f t="shared" si="2"/>
        <v>285313.03937007883</v>
      </c>
      <c r="AN25" s="918">
        <f t="shared" si="3"/>
        <v>-3.9370078826323152E-2</v>
      </c>
    </row>
    <row r="26" spans="1:40" ht="28.5" customHeight="1" x14ac:dyDescent="0.2">
      <c r="A26" s="897" t="s">
        <v>2116</v>
      </c>
      <c r="B26" s="289" t="s">
        <v>548</v>
      </c>
      <c r="C26" s="613" t="s">
        <v>2117</v>
      </c>
      <c r="D26" s="919"/>
      <c r="E26" s="891">
        <f t="shared" si="7"/>
        <v>0</v>
      </c>
      <c r="F26" s="891">
        <f t="shared" si="8"/>
        <v>0</v>
      </c>
      <c r="G26" s="891">
        <f t="shared" si="9"/>
        <v>0</v>
      </c>
      <c r="H26" s="112"/>
      <c r="I26" s="112"/>
      <c r="J26" s="112"/>
      <c r="K26" s="112"/>
      <c r="L26" s="112"/>
      <c r="M26" s="112"/>
      <c r="N26" s="112"/>
      <c r="O26" s="112"/>
      <c r="P26" s="63"/>
      <c r="Q26" s="892"/>
      <c r="R26" s="112"/>
      <c r="S26" s="112"/>
      <c r="T26" s="112"/>
      <c r="U26" s="112"/>
      <c r="V26" s="112"/>
      <c r="W26" s="112"/>
      <c r="X26" s="112"/>
      <c r="Y26" s="112"/>
      <c r="Z26" s="112"/>
      <c r="AA26" s="112"/>
      <c r="AB26" s="63"/>
      <c r="AC26" s="976">
        <f t="shared" si="6"/>
        <v>0</v>
      </c>
      <c r="AD26" s="288"/>
      <c r="AE26" s="112"/>
      <c r="AF26" s="288"/>
      <c r="AG26" s="288"/>
      <c r="AH26" s="63" t="s">
        <v>225</v>
      </c>
      <c r="AJ26" s="918"/>
      <c r="AK26" s="918"/>
      <c r="AL26" s="918">
        <f t="shared" si="1"/>
        <v>0</v>
      </c>
      <c r="AM26" s="918">
        <f t="shared" si="2"/>
        <v>0</v>
      </c>
      <c r="AN26" s="918">
        <f t="shared" si="3"/>
        <v>0</v>
      </c>
    </row>
    <row r="27" spans="1:40" ht="28.5" customHeight="1" x14ac:dyDescent="0.2">
      <c r="A27" s="929" t="s">
        <v>1250</v>
      </c>
      <c r="B27" s="921" t="s">
        <v>548</v>
      </c>
      <c r="C27" s="607" t="s">
        <v>1260</v>
      </c>
      <c r="D27" s="930"/>
      <c r="E27" s="931">
        <f t="shared" si="7"/>
        <v>0</v>
      </c>
      <c r="F27" s="931">
        <f t="shared" si="8"/>
        <v>123664200</v>
      </c>
      <c r="G27" s="891">
        <f t="shared" si="9"/>
        <v>5664200</v>
      </c>
      <c r="H27" s="113"/>
      <c r="I27" s="113"/>
      <c r="J27" s="113"/>
      <c r="K27" s="113"/>
      <c r="L27" s="113">
        <f>500000-500000+4460000+92913386</f>
        <v>97373386</v>
      </c>
      <c r="M27" s="113">
        <v>4460000</v>
      </c>
      <c r="N27" s="113"/>
      <c r="O27" s="113"/>
      <c r="P27" s="922"/>
      <c r="Q27" s="923"/>
      <c r="R27" s="113"/>
      <c r="S27" s="113"/>
      <c r="T27" s="113"/>
      <c r="U27" s="113"/>
      <c r="V27" s="113"/>
      <c r="W27" s="113"/>
      <c r="X27" s="113"/>
      <c r="Y27" s="113"/>
      <c r="Z27" s="113"/>
      <c r="AA27" s="113">
        <f>1204200+25086614</f>
        <v>26290814</v>
      </c>
      <c r="AB27" s="922">
        <v>1204200</v>
      </c>
      <c r="AC27" s="976">
        <f t="shared" si="6"/>
        <v>123664200</v>
      </c>
      <c r="AD27" s="932"/>
      <c r="AE27" s="932"/>
      <c r="AF27" s="932"/>
      <c r="AG27" s="932"/>
      <c r="AH27" s="922" t="s">
        <v>225</v>
      </c>
      <c r="AJ27" s="918"/>
      <c r="AK27" s="918"/>
      <c r="AL27" s="918">
        <f t="shared" si="1"/>
        <v>4460000</v>
      </c>
      <c r="AM27" s="918">
        <f t="shared" si="2"/>
        <v>1204200</v>
      </c>
      <c r="AN27" s="918">
        <f t="shared" si="3"/>
        <v>0</v>
      </c>
    </row>
    <row r="28" spans="1:40" s="9" customFormat="1" ht="21" customHeight="1" x14ac:dyDescent="0.2">
      <c r="A28" s="917" t="s">
        <v>18</v>
      </c>
      <c r="B28" s="691"/>
      <c r="C28" s="691"/>
      <c r="D28" s="687"/>
      <c r="E28" s="276">
        <f>SUM(E29:E55)</f>
        <v>118574800</v>
      </c>
      <c r="F28" s="276">
        <f t="shared" ref="F28:AB28" si="10">SUM(F29:F55)</f>
        <v>166363105</v>
      </c>
      <c r="G28" s="276">
        <f t="shared" si="10"/>
        <v>110124077</v>
      </c>
      <c r="H28" s="276">
        <f t="shared" si="10"/>
        <v>0</v>
      </c>
      <c r="I28" s="276">
        <f t="shared" si="10"/>
        <v>0</v>
      </c>
      <c r="J28" s="276">
        <f t="shared" si="10"/>
        <v>0</v>
      </c>
      <c r="K28" s="276">
        <f t="shared" si="10"/>
        <v>93365984</v>
      </c>
      <c r="L28" s="276">
        <f t="shared" si="10"/>
        <v>154483614</v>
      </c>
      <c r="M28" s="276">
        <f>SUM(M29:M55)</f>
        <v>101560001</v>
      </c>
      <c r="N28" s="276">
        <f t="shared" si="10"/>
        <v>0</v>
      </c>
      <c r="O28" s="276">
        <f t="shared" si="10"/>
        <v>0</v>
      </c>
      <c r="P28" s="276">
        <f t="shared" si="10"/>
        <v>0</v>
      </c>
      <c r="Q28" s="276">
        <f t="shared" si="10"/>
        <v>0</v>
      </c>
      <c r="R28" s="276">
        <f t="shared" si="10"/>
        <v>0</v>
      </c>
      <c r="S28" s="276">
        <f t="shared" si="10"/>
        <v>0</v>
      </c>
      <c r="T28" s="276">
        <f t="shared" si="10"/>
        <v>0</v>
      </c>
      <c r="U28" s="276">
        <f t="shared" si="10"/>
        <v>0</v>
      </c>
      <c r="V28" s="276">
        <f t="shared" si="10"/>
        <v>0</v>
      </c>
      <c r="W28" s="276">
        <f t="shared" si="10"/>
        <v>0</v>
      </c>
      <c r="X28" s="276">
        <f t="shared" si="10"/>
        <v>0</v>
      </c>
      <c r="Y28" s="276">
        <f t="shared" si="10"/>
        <v>0</v>
      </c>
      <c r="Z28" s="276">
        <f t="shared" si="10"/>
        <v>25208816</v>
      </c>
      <c r="AA28" s="276">
        <f t="shared" si="10"/>
        <v>11879491</v>
      </c>
      <c r="AB28" s="276">
        <f t="shared" si="10"/>
        <v>8564076</v>
      </c>
      <c r="AC28" s="884">
        <f>SUM(AC29:AC55)</f>
        <v>166363105</v>
      </c>
      <c r="AD28" s="276">
        <f>SUM(AD29:AD53)</f>
        <v>0</v>
      </c>
      <c r="AE28" s="276">
        <f>SUM(AE29:AE53)</f>
        <v>0</v>
      </c>
      <c r="AF28" s="276">
        <f>SUM(AF29:AF53)</f>
        <v>0</v>
      </c>
      <c r="AG28" s="276">
        <f>SUM(AG29:AG53)</f>
        <v>50000000</v>
      </c>
      <c r="AH28" s="91"/>
      <c r="AJ28" s="918">
        <f>SUM(AC28:AG28)</f>
        <v>216363105</v>
      </c>
      <c r="AK28" s="918">
        <f>+AJ28-E28</f>
        <v>97788305</v>
      </c>
      <c r="AL28" s="918">
        <f t="shared" si="1"/>
        <v>86711871.653543308</v>
      </c>
      <c r="AM28" s="918">
        <f t="shared" si="2"/>
        <v>23412205.346456692</v>
      </c>
      <c r="AN28" s="918">
        <f t="shared" si="3"/>
        <v>-14848129.346456692</v>
      </c>
    </row>
    <row r="29" spans="1:40" ht="28.5" customHeight="1" x14ac:dyDescent="0.2">
      <c r="A29" s="893" t="s">
        <v>90</v>
      </c>
      <c r="B29" s="933" t="s">
        <v>126</v>
      </c>
      <c r="C29" s="608" t="s">
        <v>1218</v>
      </c>
      <c r="D29" s="934"/>
      <c r="E29" s="935">
        <f>+H29+K29+N29+Q29+T29+W29+Z29</f>
        <v>10000000</v>
      </c>
      <c r="F29" s="935">
        <f>+I29+L29+O29+R29+U29+X29+AA29</f>
        <v>59456</v>
      </c>
      <c r="G29" s="935">
        <f>+J29+M29+P29+S29+V29+Y29+AB29</f>
        <v>0</v>
      </c>
      <c r="H29" s="93"/>
      <c r="I29" s="93"/>
      <c r="J29" s="93"/>
      <c r="K29" s="93">
        <v>7874016</v>
      </c>
      <c r="L29" s="93">
        <v>46630</v>
      </c>
      <c r="M29" s="93"/>
      <c r="N29" s="93"/>
      <c r="O29" s="93"/>
      <c r="P29" s="936"/>
      <c r="Q29" s="937"/>
      <c r="R29" s="93"/>
      <c r="S29" s="93"/>
      <c r="T29" s="93"/>
      <c r="U29" s="93"/>
      <c r="V29" s="93"/>
      <c r="W29" s="93"/>
      <c r="X29" s="93"/>
      <c r="Y29" s="93"/>
      <c r="Z29" s="93">
        <v>2125984</v>
      </c>
      <c r="AA29" s="93">
        <v>12826</v>
      </c>
      <c r="AB29" s="936"/>
      <c r="AC29" s="976">
        <f t="shared" si="6"/>
        <v>59456</v>
      </c>
      <c r="AD29" s="939"/>
      <c r="AE29" s="939"/>
      <c r="AF29" s="939"/>
      <c r="AG29" s="939"/>
      <c r="AH29" s="936" t="s">
        <v>225</v>
      </c>
      <c r="AJ29" s="918"/>
      <c r="AK29" s="918"/>
      <c r="AL29" s="918">
        <f t="shared" si="1"/>
        <v>0</v>
      </c>
      <c r="AM29" s="918">
        <f t="shared" si="2"/>
        <v>0</v>
      </c>
      <c r="AN29" s="918">
        <f t="shared" si="3"/>
        <v>0</v>
      </c>
    </row>
    <row r="30" spans="1:40" ht="28.5" customHeight="1" x14ac:dyDescent="0.2">
      <c r="A30" s="889" t="s">
        <v>90</v>
      </c>
      <c r="B30" s="896" t="s">
        <v>126</v>
      </c>
      <c r="C30" s="613" t="s">
        <v>1219</v>
      </c>
      <c r="D30" s="919"/>
      <c r="E30" s="891">
        <f t="shared" ref="E30:F53" si="11">+H30+K30+N30+Q30+T30+W30+Z30</f>
        <v>40000000</v>
      </c>
      <c r="F30" s="891">
        <f t="shared" si="11"/>
        <v>0</v>
      </c>
      <c r="G30" s="891">
        <f>+J30+M30+P30+S30+V30+Y30+AB30</f>
        <v>0</v>
      </c>
      <c r="H30" s="112"/>
      <c r="I30" s="112"/>
      <c r="J30" s="112"/>
      <c r="K30" s="112">
        <v>31496063</v>
      </c>
      <c r="L30" s="112">
        <v>0</v>
      </c>
      <c r="M30" s="112"/>
      <c r="N30" s="112"/>
      <c r="O30" s="112"/>
      <c r="P30" s="63"/>
      <c r="Q30" s="892"/>
      <c r="R30" s="112"/>
      <c r="S30" s="112"/>
      <c r="T30" s="112"/>
      <c r="U30" s="112"/>
      <c r="V30" s="112"/>
      <c r="W30" s="112"/>
      <c r="X30" s="112"/>
      <c r="Y30" s="112"/>
      <c r="Z30" s="112">
        <v>8503937</v>
      </c>
      <c r="AA30" s="63">
        <v>0</v>
      </c>
      <c r="AB30" s="63"/>
      <c r="AC30" s="976">
        <f t="shared" si="6"/>
        <v>0</v>
      </c>
      <c r="AD30" s="288"/>
      <c r="AE30" s="288"/>
      <c r="AF30" s="288"/>
      <c r="AG30" s="288"/>
      <c r="AH30" s="63" t="s">
        <v>225</v>
      </c>
      <c r="AJ30" s="918"/>
      <c r="AK30" s="918"/>
      <c r="AL30" s="918">
        <f t="shared" si="1"/>
        <v>0</v>
      </c>
      <c r="AM30" s="918">
        <f t="shared" si="2"/>
        <v>0</v>
      </c>
      <c r="AN30" s="918">
        <f t="shared" si="3"/>
        <v>0</v>
      </c>
    </row>
    <row r="31" spans="1:40" ht="28.5" customHeight="1" x14ac:dyDescent="0.2">
      <c r="A31" s="889" t="s">
        <v>90</v>
      </c>
      <c r="B31" s="896" t="s">
        <v>126</v>
      </c>
      <c r="C31" s="613" t="s">
        <v>926</v>
      </c>
      <c r="D31" s="919"/>
      <c r="E31" s="891">
        <f t="shared" si="11"/>
        <v>0</v>
      </c>
      <c r="F31" s="891">
        <f t="shared" si="11"/>
        <v>0</v>
      </c>
      <c r="G31" s="891">
        <f>+J31+M31+P31+S31+V31+Y31+AB31</f>
        <v>0</v>
      </c>
      <c r="H31" s="112"/>
      <c r="I31" s="112"/>
      <c r="J31" s="112"/>
      <c r="K31" s="112"/>
      <c r="L31" s="112"/>
      <c r="M31" s="112"/>
      <c r="N31" s="112"/>
      <c r="O31" s="112"/>
      <c r="P31" s="63"/>
      <c r="Q31" s="892"/>
      <c r="R31" s="112"/>
      <c r="S31" s="112"/>
      <c r="T31" s="112"/>
      <c r="U31" s="112"/>
      <c r="V31" s="112"/>
      <c r="W31" s="112"/>
      <c r="X31" s="112"/>
      <c r="Y31" s="112"/>
      <c r="Z31" s="112"/>
      <c r="AA31" s="112"/>
      <c r="AB31" s="63"/>
      <c r="AC31" s="976">
        <f t="shared" si="6"/>
        <v>0</v>
      </c>
      <c r="AD31" s="288"/>
      <c r="AE31" s="288"/>
      <c r="AF31" s="288"/>
      <c r="AG31" s="288">
        <v>20000000</v>
      </c>
      <c r="AH31" s="63" t="s">
        <v>225</v>
      </c>
      <c r="AJ31" s="918"/>
      <c r="AK31" s="918"/>
      <c r="AL31" s="918">
        <f t="shared" si="1"/>
        <v>0</v>
      </c>
      <c r="AM31" s="918">
        <f t="shared" si="2"/>
        <v>0</v>
      </c>
      <c r="AN31" s="918">
        <f t="shared" si="3"/>
        <v>0</v>
      </c>
    </row>
    <row r="32" spans="1:40" ht="28.5" customHeight="1" x14ac:dyDescent="0.2">
      <c r="A32" s="889" t="s">
        <v>90</v>
      </c>
      <c r="B32" s="896" t="s">
        <v>126</v>
      </c>
      <c r="C32" s="613" t="s">
        <v>2184</v>
      </c>
      <c r="D32" s="919"/>
      <c r="E32" s="891">
        <f>+H32+K32+N32+Q32+T32+W32+Z32</f>
        <v>0</v>
      </c>
      <c r="F32" s="891">
        <f>+I32+L32+O32+R32+U32+X32+AA32</f>
        <v>1551940</v>
      </c>
      <c r="G32" s="891">
        <f>+J32+M32+P32+S32+V32+Y32+AB32</f>
        <v>1551940</v>
      </c>
      <c r="H32" s="112"/>
      <c r="I32" s="112"/>
      <c r="J32" s="112"/>
      <c r="K32" s="112"/>
      <c r="L32" s="112">
        <v>1222000</v>
      </c>
      <c r="M32" s="112">
        <v>1222000</v>
      </c>
      <c r="N32" s="112"/>
      <c r="O32" s="112"/>
      <c r="P32" s="63"/>
      <c r="Q32" s="892"/>
      <c r="R32" s="112"/>
      <c r="S32" s="112"/>
      <c r="T32" s="112"/>
      <c r="U32" s="112"/>
      <c r="V32" s="112"/>
      <c r="W32" s="112"/>
      <c r="X32" s="112"/>
      <c r="Y32" s="112"/>
      <c r="Z32" s="112"/>
      <c r="AA32" s="112">
        <v>329940</v>
      </c>
      <c r="AB32" s="63">
        <v>329940</v>
      </c>
      <c r="AC32" s="976">
        <f t="shared" si="6"/>
        <v>1551940</v>
      </c>
      <c r="AD32" s="288"/>
      <c r="AE32" s="288"/>
      <c r="AF32" s="288"/>
      <c r="AG32" s="288"/>
      <c r="AH32" s="63" t="s">
        <v>225</v>
      </c>
      <c r="AJ32" s="918"/>
      <c r="AK32" s="918"/>
      <c r="AL32" s="918"/>
      <c r="AM32" s="918"/>
      <c r="AN32" s="918"/>
    </row>
    <row r="33" spans="1:40" ht="28.5" customHeight="1" x14ac:dyDescent="0.2">
      <c r="A33" s="889" t="s">
        <v>90</v>
      </c>
      <c r="B33" s="896" t="s">
        <v>126</v>
      </c>
      <c r="C33" s="613" t="s">
        <v>1047</v>
      </c>
      <c r="D33" s="919"/>
      <c r="E33" s="891">
        <f t="shared" si="11"/>
        <v>30152400</v>
      </c>
      <c r="F33" s="891">
        <f t="shared" si="11"/>
        <v>24568456</v>
      </c>
      <c r="G33" s="891">
        <f>+J33+M33+P33+S33+V33+Y33+AB33</f>
        <v>24568456</v>
      </c>
      <c r="H33" s="112"/>
      <c r="I33" s="112"/>
      <c r="J33" s="112"/>
      <c r="K33" s="112">
        <f>+(23622047)+120000</f>
        <v>23742047</v>
      </c>
      <c r="L33" s="112">
        <f>+(23622047)+120000+119009</f>
        <v>23861056</v>
      </c>
      <c r="M33" s="112">
        <f>21241056+2500000+120000</f>
        <v>23861056</v>
      </c>
      <c r="N33" s="112"/>
      <c r="O33" s="112"/>
      <c r="P33" s="63"/>
      <c r="Q33" s="892"/>
      <c r="R33" s="112"/>
      <c r="S33" s="112"/>
      <c r="T33" s="112"/>
      <c r="U33" s="112"/>
      <c r="V33" s="112"/>
      <c r="W33" s="112"/>
      <c r="X33" s="112"/>
      <c r="Y33" s="112"/>
      <c r="Z33" s="112">
        <f>+(6377953)+32400</f>
        <v>6410353</v>
      </c>
      <c r="AA33" s="112">
        <f>+(6377953)+32400-6377953+642868+32132</f>
        <v>707400</v>
      </c>
      <c r="AB33" s="63">
        <f>675000+32400</f>
        <v>707400</v>
      </c>
      <c r="AC33" s="976">
        <f t="shared" si="6"/>
        <v>24568456</v>
      </c>
      <c r="AD33" s="288"/>
      <c r="AE33" s="288"/>
      <c r="AF33" s="288"/>
      <c r="AG33" s="288"/>
      <c r="AH33" s="63" t="s">
        <v>225</v>
      </c>
      <c r="AJ33" s="918"/>
      <c r="AK33" s="918"/>
      <c r="AL33" s="918">
        <f t="shared" si="1"/>
        <v>19345240.94488189</v>
      </c>
      <c r="AM33" s="918">
        <f t="shared" si="2"/>
        <v>5223215.05511811</v>
      </c>
      <c r="AN33" s="918">
        <f t="shared" si="3"/>
        <v>-4515815.05511811</v>
      </c>
    </row>
    <row r="34" spans="1:40" ht="30.75" customHeight="1" x14ac:dyDescent="0.2">
      <c r="A34" s="889" t="s">
        <v>90</v>
      </c>
      <c r="B34" s="896" t="s">
        <v>126</v>
      </c>
      <c r="C34" s="613" t="s">
        <v>2185</v>
      </c>
      <c r="D34" s="919"/>
      <c r="E34" s="891">
        <f>+H34+K34+N34+Q34+T34+W34+Z34</f>
        <v>0</v>
      </c>
      <c r="F34" s="891">
        <f>+I34+L34+O34+R34+U34+X34+AA34</f>
        <v>1244600</v>
      </c>
      <c r="G34" s="891">
        <f>+J34+M34+P34+S34+V34+Y34+AB34</f>
        <v>1244600</v>
      </c>
      <c r="H34" s="112"/>
      <c r="I34" s="112"/>
      <c r="J34" s="112"/>
      <c r="K34" s="112"/>
      <c r="L34" s="112">
        <v>980000</v>
      </c>
      <c r="M34" s="112">
        <v>980000</v>
      </c>
      <c r="N34" s="112"/>
      <c r="O34" s="112"/>
      <c r="P34" s="63"/>
      <c r="Q34" s="892"/>
      <c r="R34" s="112"/>
      <c r="S34" s="112"/>
      <c r="T34" s="112"/>
      <c r="U34" s="112"/>
      <c r="V34" s="112"/>
      <c r="W34" s="112"/>
      <c r="X34" s="112"/>
      <c r="Y34" s="112"/>
      <c r="Z34" s="112"/>
      <c r="AA34" s="112">
        <v>264600</v>
      </c>
      <c r="AB34" s="63">
        <v>264600</v>
      </c>
      <c r="AC34" s="976">
        <f t="shared" si="6"/>
        <v>1244600</v>
      </c>
      <c r="AD34" s="288"/>
      <c r="AE34" s="288"/>
      <c r="AF34" s="288"/>
      <c r="AG34" s="288"/>
      <c r="AH34" s="63"/>
      <c r="AJ34" s="918"/>
      <c r="AK34" s="918"/>
      <c r="AL34" s="918"/>
      <c r="AM34" s="918"/>
      <c r="AN34" s="918"/>
    </row>
    <row r="35" spans="1:40" ht="28.5" customHeight="1" x14ac:dyDescent="0.2">
      <c r="A35" s="889" t="s">
        <v>90</v>
      </c>
      <c r="B35" s="896" t="s">
        <v>126</v>
      </c>
      <c r="C35" s="613" t="s">
        <v>957</v>
      </c>
      <c r="D35" s="919"/>
      <c r="E35" s="891">
        <f t="shared" si="11"/>
        <v>0</v>
      </c>
      <c r="F35" s="891">
        <f t="shared" si="11"/>
        <v>0</v>
      </c>
      <c r="G35" s="891">
        <f t="shared" ref="G35:G53" si="12">+J35+M35+P35+S35+V35+Y35+AB35</f>
        <v>0</v>
      </c>
      <c r="H35" s="112"/>
      <c r="I35" s="112"/>
      <c r="J35" s="112"/>
      <c r="K35" s="112"/>
      <c r="L35" s="112"/>
      <c r="M35" s="112"/>
      <c r="N35" s="112"/>
      <c r="O35" s="112"/>
      <c r="P35" s="63"/>
      <c r="Q35" s="892"/>
      <c r="R35" s="112"/>
      <c r="S35" s="112"/>
      <c r="T35" s="112"/>
      <c r="U35" s="112"/>
      <c r="V35" s="112"/>
      <c r="W35" s="112"/>
      <c r="X35" s="112"/>
      <c r="Y35" s="112"/>
      <c r="Z35" s="112"/>
      <c r="AA35" s="112"/>
      <c r="AB35" s="63"/>
      <c r="AC35" s="976">
        <f t="shared" si="6"/>
        <v>0</v>
      </c>
      <c r="AD35" s="288"/>
      <c r="AE35" s="288"/>
      <c r="AF35" s="288"/>
      <c r="AG35" s="288">
        <v>30000000</v>
      </c>
      <c r="AH35" s="63" t="s">
        <v>225</v>
      </c>
      <c r="AJ35" s="918"/>
      <c r="AK35" s="918"/>
      <c r="AL35" s="918">
        <f t="shared" si="1"/>
        <v>0</v>
      </c>
      <c r="AM35" s="918">
        <f t="shared" si="2"/>
        <v>0</v>
      </c>
      <c r="AN35" s="918">
        <f t="shared" si="3"/>
        <v>0</v>
      </c>
    </row>
    <row r="36" spans="1:40" ht="28.5" customHeight="1" x14ac:dyDescent="0.2">
      <c r="A36" s="889" t="s">
        <v>90</v>
      </c>
      <c r="B36" s="896" t="s">
        <v>126</v>
      </c>
      <c r="C36" s="613" t="s">
        <v>801</v>
      </c>
      <c r="D36" s="919"/>
      <c r="E36" s="891">
        <f t="shared" si="11"/>
        <v>2000000</v>
      </c>
      <c r="F36" s="891">
        <f t="shared" si="11"/>
        <v>0</v>
      </c>
      <c r="G36" s="891">
        <f t="shared" si="12"/>
        <v>0</v>
      </c>
      <c r="H36" s="112"/>
      <c r="I36" s="112"/>
      <c r="J36" s="112"/>
      <c r="K36" s="112">
        <v>1574803</v>
      </c>
      <c r="L36" s="112">
        <f>1574803-1574803</f>
        <v>0</v>
      </c>
      <c r="M36" s="112"/>
      <c r="N36" s="112"/>
      <c r="O36" s="112"/>
      <c r="P36" s="63"/>
      <c r="Q36" s="892"/>
      <c r="R36" s="112"/>
      <c r="S36" s="112"/>
      <c r="T36" s="112"/>
      <c r="U36" s="112"/>
      <c r="V36" s="112"/>
      <c r="W36" s="112"/>
      <c r="X36" s="112"/>
      <c r="Y36" s="112"/>
      <c r="Z36" s="112">
        <v>425197</v>
      </c>
      <c r="AA36" s="112">
        <f>425197-425197</f>
        <v>0</v>
      </c>
      <c r="AB36" s="63"/>
      <c r="AC36" s="976">
        <f t="shared" si="6"/>
        <v>0</v>
      </c>
      <c r="AD36" s="288"/>
      <c r="AE36" s="288"/>
      <c r="AF36" s="288"/>
      <c r="AG36" s="288"/>
      <c r="AH36" s="63" t="s">
        <v>225</v>
      </c>
      <c r="AJ36" s="918"/>
      <c r="AK36" s="918"/>
      <c r="AL36" s="918">
        <f t="shared" si="1"/>
        <v>0</v>
      </c>
      <c r="AM36" s="918">
        <f t="shared" si="2"/>
        <v>0</v>
      </c>
      <c r="AN36" s="918">
        <f t="shared" si="3"/>
        <v>0</v>
      </c>
    </row>
    <row r="37" spans="1:40" ht="28.5" customHeight="1" x14ac:dyDescent="0.2">
      <c r="A37" s="940" t="s">
        <v>90</v>
      </c>
      <c r="B37" s="941" t="s">
        <v>126</v>
      </c>
      <c r="C37" s="142" t="s">
        <v>802</v>
      </c>
      <c r="D37" s="942"/>
      <c r="E37" s="899">
        <f t="shared" si="11"/>
        <v>5000000</v>
      </c>
      <c r="F37" s="899">
        <f t="shared" si="11"/>
        <v>8650</v>
      </c>
      <c r="G37" s="891">
        <f t="shared" si="12"/>
        <v>0</v>
      </c>
      <c r="H37" s="143"/>
      <c r="I37" s="143"/>
      <c r="J37" s="143"/>
      <c r="K37" s="143">
        <v>3937008</v>
      </c>
      <c r="L37" s="143">
        <f>3937008-3930197</f>
        <v>6811</v>
      </c>
      <c r="M37" s="143"/>
      <c r="N37" s="143"/>
      <c r="O37" s="143"/>
      <c r="P37" s="162"/>
      <c r="Q37" s="900"/>
      <c r="R37" s="143"/>
      <c r="S37" s="143"/>
      <c r="T37" s="143"/>
      <c r="U37" s="143"/>
      <c r="V37" s="143"/>
      <c r="W37" s="143"/>
      <c r="X37" s="143"/>
      <c r="Y37" s="143"/>
      <c r="Z37" s="143">
        <v>1062992</v>
      </c>
      <c r="AA37" s="143">
        <f>1062992-1061153</f>
        <v>1839</v>
      </c>
      <c r="AB37" s="162"/>
      <c r="AC37" s="976">
        <f t="shared" si="6"/>
        <v>8650</v>
      </c>
      <c r="AD37" s="285"/>
      <c r="AE37" s="285"/>
      <c r="AF37" s="285"/>
      <c r="AG37" s="285"/>
      <c r="AH37" s="162" t="s">
        <v>225</v>
      </c>
      <c r="AJ37" s="918"/>
      <c r="AK37" s="918"/>
      <c r="AL37" s="918">
        <f t="shared" si="1"/>
        <v>0</v>
      </c>
      <c r="AM37" s="918">
        <f t="shared" si="2"/>
        <v>0</v>
      </c>
      <c r="AN37" s="918">
        <f t="shared" si="3"/>
        <v>0</v>
      </c>
    </row>
    <row r="38" spans="1:40" ht="46.5" customHeight="1" x14ac:dyDescent="0.2">
      <c r="A38" s="893" t="s">
        <v>90</v>
      </c>
      <c r="B38" s="933" t="s">
        <v>126</v>
      </c>
      <c r="C38" s="608" t="s">
        <v>1240</v>
      </c>
      <c r="D38" s="934"/>
      <c r="E38" s="935">
        <f t="shared" si="11"/>
        <v>0</v>
      </c>
      <c r="F38" s="935">
        <f t="shared" si="11"/>
        <v>6991350</v>
      </c>
      <c r="G38" s="891">
        <f t="shared" si="12"/>
        <v>6991350</v>
      </c>
      <c r="H38" s="93"/>
      <c r="I38" s="93"/>
      <c r="J38" s="93"/>
      <c r="K38" s="93"/>
      <c r="L38" s="93">
        <v>5505000</v>
      </c>
      <c r="M38" s="93">
        <v>5505000</v>
      </c>
      <c r="N38" s="93"/>
      <c r="O38" s="93"/>
      <c r="P38" s="936"/>
      <c r="Q38" s="937"/>
      <c r="R38" s="93"/>
      <c r="S38" s="93"/>
      <c r="T38" s="93"/>
      <c r="U38" s="93"/>
      <c r="V38" s="93"/>
      <c r="W38" s="93"/>
      <c r="X38" s="93"/>
      <c r="Y38" s="93"/>
      <c r="Z38" s="93"/>
      <c r="AA38" s="93">
        <v>1486350</v>
      </c>
      <c r="AB38" s="936">
        <v>1486350</v>
      </c>
      <c r="AC38" s="976">
        <f t="shared" si="6"/>
        <v>6991350</v>
      </c>
      <c r="AD38" s="939"/>
      <c r="AE38" s="939"/>
      <c r="AF38" s="939"/>
      <c r="AG38" s="939"/>
      <c r="AH38" s="936" t="s">
        <v>225</v>
      </c>
      <c r="AJ38" s="918"/>
      <c r="AK38" s="918"/>
      <c r="AL38" s="918">
        <f t="shared" si="1"/>
        <v>5505000</v>
      </c>
      <c r="AM38" s="918">
        <f t="shared" si="2"/>
        <v>1486350</v>
      </c>
      <c r="AN38" s="918">
        <f t="shared" si="3"/>
        <v>0</v>
      </c>
    </row>
    <row r="39" spans="1:40" ht="46.5" customHeight="1" x14ac:dyDescent="0.2">
      <c r="A39" s="889" t="s">
        <v>90</v>
      </c>
      <c r="B39" s="896" t="s">
        <v>126</v>
      </c>
      <c r="C39" s="613" t="s">
        <v>1389</v>
      </c>
      <c r="D39" s="919"/>
      <c r="E39" s="891">
        <f t="shared" si="11"/>
        <v>0</v>
      </c>
      <c r="F39" s="891">
        <f t="shared" si="11"/>
        <v>1930400</v>
      </c>
      <c r="G39" s="891">
        <f t="shared" si="12"/>
        <v>1930400</v>
      </c>
      <c r="H39" s="112"/>
      <c r="I39" s="112"/>
      <c r="J39" s="112"/>
      <c r="K39" s="112"/>
      <c r="L39" s="112">
        <v>1520000</v>
      </c>
      <c r="M39" s="112">
        <v>1520000</v>
      </c>
      <c r="N39" s="112"/>
      <c r="O39" s="112"/>
      <c r="P39" s="63"/>
      <c r="Q39" s="892"/>
      <c r="R39" s="112"/>
      <c r="S39" s="112"/>
      <c r="T39" s="112"/>
      <c r="U39" s="112"/>
      <c r="V39" s="112"/>
      <c r="W39" s="112"/>
      <c r="X39" s="112"/>
      <c r="Y39" s="112"/>
      <c r="Z39" s="112"/>
      <c r="AA39" s="112">
        <v>410400</v>
      </c>
      <c r="AB39" s="63">
        <v>410400</v>
      </c>
      <c r="AC39" s="976">
        <f t="shared" si="6"/>
        <v>1930400</v>
      </c>
      <c r="AD39" s="288"/>
      <c r="AE39" s="288"/>
      <c r="AF39" s="288"/>
      <c r="AG39" s="288"/>
      <c r="AH39" s="63" t="s">
        <v>225</v>
      </c>
      <c r="AJ39" s="918"/>
      <c r="AK39" s="918"/>
      <c r="AL39" s="918">
        <f t="shared" si="1"/>
        <v>1520000</v>
      </c>
      <c r="AM39" s="918">
        <f t="shared" si="2"/>
        <v>410400</v>
      </c>
      <c r="AN39" s="918">
        <f t="shared" si="3"/>
        <v>0</v>
      </c>
    </row>
    <row r="40" spans="1:40" ht="26.25" customHeight="1" x14ac:dyDescent="0.2">
      <c r="A40" s="889" t="s">
        <v>90</v>
      </c>
      <c r="B40" s="896" t="s">
        <v>126</v>
      </c>
      <c r="C40" s="613" t="s">
        <v>2091</v>
      </c>
      <c r="D40" s="919"/>
      <c r="E40" s="891">
        <f>+H40+K40+N40+Q40+T40+W40+Z40</f>
        <v>0</v>
      </c>
      <c r="F40" s="891">
        <f>+I40+L40+O40+R40+U40+X40+AA40</f>
        <v>4142486</v>
      </c>
      <c r="G40" s="891">
        <f t="shared" si="12"/>
        <v>4142486</v>
      </c>
      <c r="H40" s="112"/>
      <c r="I40" s="112"/>
      <c r="J40" s="112"/>
      <c r="K40" s="112"/>
      <c r="L40" s="112">
        <v>3261800</v>
      </c>
      <c r="M40" s="112">
        <v>3261800</v>
      </c>
      <c r="N40" s="112"/>
      <c r="O40" s="112"/>
      <c r="P40" s="63"/>
      <c r="Q40" s="892"/>
      <c r="R40" s="112"/>
      <c r="S40" s="112"/>
      <c r="T40" s="112"/>
      <c r="U40" s="112"/>
      <c r="V40" s="112"/>
      <c r="W40" s="112"/>
      <c r="X40" s="112"/>
      <c r="Y40" s="112"/>
      <c r="Z40" s="112"/>
      <c r="AA40" s="112">
        <f>1080351-199665</f>
        <v>880686</v>
      </c>
      <c r="AB40" s="63">
        <v>880686</v>
      </c>
      <c r="AC40" s="976">
        <f t="shared" si="6"/>
        <v>4142486</v>
      </c>
      <c r="AD40" s="288"/>
      <c r="AE40" s="288"/>
      <c r="AF40" s="288"/>
      <c r="AG40" s="288"/>
      <c r="AH40" s="63" t="s">
        <v>225</v>
      </c>
      <c r="AJ40" s="918"/>
      <c r="AK40" s="918"/>
      <c r="AL40" s="918">
        <f t="shared" si="1"/>
        <v>3261800</v>
      </c>
      <c r="AM40" s="918">
        <f t="shared" si="2"/>
        <v>880686</v>
      </c>
      <c r="AN40" s="918">
        <f t="shared" si="3"/>
        <v>0</v>
      </c>
    </row>
    <row r="41" spans="1:40" ht="28.5" customHeight="1" x14ac:dyDescent="0.2">
      <c r="A41" s="889" t="s">
        <v>90</v>
      </c>
      <c r="B41" s="896" t="s">
        <v>126</v>
      </c>
      <c r="C41" s="613" t="s">
        <v>1220</v>
      </c>
      <c r="D41" s="919"/>
      <c r="E41" s="891">
        <f t="shared" si="11"/>
        <v>0</v>
      </c>
      <c r="F41" s="891">
        <f t="shared" si="11"/>
        <v>9398000</v>
      </c>
      <c r="G41" s="891">
        <f t="shared" si="12"/>
        <v>9398000</v>
      </c>
      <c r="H41" s="112"/>
      <c r="I41" s="112"/>
      <c r="J41" s="112"/>
      <c r="K41" s="112"/>
      <c r="L41" s="112">
        <v>7400000</v>
      </c>
      <c r="M41" s="112">
        <v>7400000</v>
      </c>
      <c r="N41" s="112"/>
      <c r="O41" s="112"/>
      <c r="P41" s="63"/>
      <c r="Q41" s="892"/>
      <c r="R41" s="112"/>
      <c r="S41" s="112"/>
      <c r="T41" s="112"/>
      <c r="U41" s="112"/>
      <c r="V41" s="112"/>
      <c r="W41" s="112"/>
      <c r="X41" s="112"/>
      <c r="Y41" s="112"/>
      <c r="Z41" s="112"/>
      <c r="AA41" s="112">
        <v>1998000</v>
      </c>
      <c r="AB41" s="63">
        <v>1998000</v>
      </c>
      <c r="AC41" s="976">
        <f t="shared" si="6"/>
        <v>9398000</v>
      </c>
      <c r="AD41" s="288"/>
      <c r="AE41" s="288"/>
      <c r="AF41" s="288"/>
      <c r="AG41" s="288"/>
      <c r="AH41" s="63" t="s">
        <v>225</v>
      </c>
      <c r="AJ41" s="918"/>
      <c r="AK41" s="918"/>
      <c r="AL41" s="918">
        <f t="shared" si="1"/>
        <v>7400000</v>
      </c>
      <c r="AM41" s="918">
        <f t="shared" si="2"/>
        <v>1998000</v>
      </c>
      <c r="AN41" s="918">
        <f t="shared" si="3"/>
        <v>0</v>
      </c>
    </row>
    <row r="42" spans="1:40" ht="28.5" customHeight="1" x14ac:dyDescent="0.2">
      <c r="A42" s="889" t="s">
        <v>90</v>
      </c>
      <c r="B42" s="896" t="s">
        <v>126</v>
      </c>
      <c r="C42" s="613" t="s">
        <v>1491</v>
      </c>
      <c r="D42" s="919"/>
      <c r="E42" s="891">
        <f t="shared" si="11"/>
        <v>0</v>
      </c>
      <c r="F42" s="891">
        <f t="shared" si="11"/>
        <v>6324600</v>
      </c>
      <c r="G42" s="891">
        <f t="shared" si="12"/>
        <v>6324600</v>
      </c>
      <c r="H42" s="112"/>
      <c r="I42" s="112"/>
      <c r="J42" s="112"/>
      <c r="K42" s="112"/>
      <c r="L42" s="112">
        <v>4980000</v>
      </c>
      <c r="M42" s="112">
        <v>4980000</v>
      </c>
      <c r="N42" s="112"/>
      <c r="O42" s="112"/>
      <c r="P42" s="63"/>
      <c r="Q42" s="892"/>
      <c r="R42" s="112"/>
      <c r="S42" s="112"/>
      <c r="T42" s="112"/>
      <c r="U42" s="112"/>
      <c r="V42" s="112"/>
      <c r="W42" s="112"/>
      <c r="X42" s="112"/>
      <c r="Y42" s="112"/>
      <c r="Z42" s="112"/>
      <c r="AA42" s="112">
        <v>1344600</v>
      </c>
      <c r="AB42" s="63">
        <v>1344600</v>
      </c>
      <c r="AC42" s="976">
        <f t="shared" si="6"/>
        <v>6324600</v>
      </c>
      <c r="AD42" s="288"/>
      <c r="AE42" s="288"/>
      <c r="AF42" s="288"/>
      <c r="AG42" s="288"/>
      <c r="AH42" s="63" t="s">
        <v>225</v>
      </c>
      <c r="AJ42" s="918"/>
      <c r="AK42" s="918"/>
      <c r="AL42" s="918">
        <f t="shared" si="1"/>
        <v>4980000</v>
      </c>
      <c r="AM42" s="918">
        <f t="shared" si="2"/>
        <v>1344600</v>
      </c>
      <c r="AN42" s="918">
        <f t="shared" si="3"/>
        <v>0</v>
      </c>
    </row>
    <row r="43" spans="1:40" ht="28.5" customHeight="1" x14ac:dyDescent="0.2">
      <c r="A43" s="889" t="s">
        <v>148</v>
      </c>
      <c r="B43" s="896" t="s">
        <v>126</v>
      </c>
      <c r="C43" s="613" t="s">
        <v>927</v>
      </c>
      <c r="D43" s="919"/>
      <c r="E43" s="891">
        <f t="shared" si="11"/>
        <v>30000000</v>
      </c>
      <c r="F43" s="891">
        <f t="shared" si="11"/>
        <v>2476500</v>
      </c>
      <c r="G43" s="891">
        <f t="shared" si="12"/>
        <v>2476500</v>
      </c>
      <c r="H43" s="112"/>
      <c r="I43" s="112"/>
      <c r="J43" s="112"/>
      <c r="K43" s="112">
        <v>23622047</v>
      </c>
      <c r="L43" s="112">
        <v>1950000</v>
      </c>
      <c r="M43" s="112">
        <v>1950000</v>
      </c>
      <c r="N43" s="112"/>
      <c r="O43" s="112"/>
      <c r="P43" s="63"/>
      <c r="Q43" s="892"/>
      <c r="R43" s="112"/>
      <c r="S43" s="112"/>
      <c r="T43" s="112"/>
      <c r="U43" s="112"/>
      <c r="V43" s="112"/>
      <c r="W43" s="112"/>
      <c r="X43" s="112"/>
      <c r="Y43" s="112"/>
      <c r="Z43" s="112">
        <v>6377953</v>
      </c>
      <c r="AA43" s="112">
        <f>6377953+526500-6377953</f>
        <v>526500</v>
      </c>
      <c r="AB43" s="63">
        <v>526500</v>
      </c>
      <c r="AC43" s="976">
        <f t="shared" si="6"/>
        <v>2476500</v>
      </c>
      <c r="AD43" s="288"/>
      <c r="AE43" s="288"/>
      <c r="AF43" s="288"/>
      <c r="AG43" s="288"/>
      <c r="AH43" s="63" t="s">
        <v>225</v>
      </c>
      <c r="AJ43" s="918"/>
      <c r="AK43" s="918"/>
      <c r="AL43" s="918">
        <f t="shared" si="1"/>
        <v>1950000</v>
      </c>
      <c r="AM43" s="918">
        <f t="shared" si="2"/>
        <v>526500</v>
      </c>
      <c r="AN43" s="918">
        <f t="shared" si="3"/>
        <v>0</v>
      </c>
    </row>
    <row r="44" spans="1:40" ht="31.5" customHeight="1" x14ac:dyDescent="0.2">
      <c r="A44" s="889" t="s">
        <v>148</v>
      </c>
      <c r="B44" s="896" t="s">
        <v>126</v>
      </c>
      <c r="C44" s="613" t="s">
        <v>993</v>
      </c>
      <c r="D44" s="919"/>
      <c r="E44" s="891">
        <f t="shared" si="11"/>
        <v>406400</v>
      </c>
      <c r="F44" s="891">
        <f t="shared" si="11"/>
        <v>406400</v>
      </c>
      <c r="G44" s="891">
        <f t="shared" si="12"/>
        <v>406400</v>
      </c>
      <c r="H44" s="112"/>
      <c r="I44" s="112"/>
      <c r="J44" s="112"/>
      <c r="K44" s="112">
        <v>320000</v>
      </c>
      <c r="L44" s="112">
        <v>320000</v>
      </c>
      <c r="M44" s="112">
        <v>320000</v>
      </c>
      <c r="N44" s="112"/>
      <c r="O44" s="112"/>
      <c r="P44" s="63"/>
      <c r="Q44" s="892"/>
      <c r="R44" s="112"/>
      <c r="S44" s="112"/>
      <c r="T44" s="112"/>
      <c r="U44" s="112"/>
      <c r="V44" s="112"/>
      <c r="W44" s="112"/>
      <c r="X44" s="112"/>
      <c r="Y44" s="112"/>
      <c r="Z44" s="112">
        <v>86400</v>
      </c>
      <c r="AA44" s="112">
        <v>86400</v>
      </c>
      <c r="AB44" s="63">
        <v>86400</v>
      </c>
      <c r="AC44" s="976">
        <f t="shared" si="6"/>
        <v>406400</v>
      </c>
      <c r="AD44" s="288"/>
      <c r="AE44" s="288"/>
      <c r="AF44" s="288"/>
      <c r="AG44" s="288"/>
      <c r="AH44" s="63" t="s">
        <v>225</v>
      </c>
      <c r="AJ44" s="918"/>
      <c r="AK44" s="918"/>
      <c r="AL44" s="918">
        <f t="shared" si="1"/>
        <v>320000</v>
      </c>
      <c r="AM44" s="918">
        <f t="shared" si="2"/>
        <v>86400</v>
      </c>
      <c r="AN44" s="918">
        <f t="shared" si="3"/>
        <v>0</v>
      </c>
    </row>
    <row r="45" spans="1:40" ht="27.75" customHeight="1" x14ac:dyDescent="0.2">
      <c r="A45" s="889" t="s">
        <v>148</v>
      </c>
      <c r="B45" s="896" t="s">
        <v>126</v>
      </c>
      <c r="C45" s="613" t="s">
        <v>996</v>
      </c>
      <c r="D45" s="919"/>
      <c r="E45" s="891">
        <f t="shared" si="11"/>
        <v>254000</v>
      </c>
      <c r="F45" s="891">
        <f t="shared" si="11"/>
        <v>0</v>
      </c>
      <c r="G45" s="891">
        <f t="shared" si="12"/>
        <v>0</v>
      </c>
      <c r="H45" s="112"/>
      <c r="I45" s="112"/>
      <c r="J45" s="112"/>
      <c r="K45" s="112">
        <v>200000</v>
      </c>
      <c r="L45" s="112">
        <v>0</v>
      </c>
      <c r="M45" s="112"/>
      <c r="N45" s="112"/>
      <c r="O45" s="112"/>
      <c r="P45" s="63"/>
      <c r="Q45" s="892"/>
      <c r="R45" s="112"/>
      <c r="S45" s="112"/>
      <c r="T45" s="112"/>
      <c r="U45" s="112"/>
      <c r="V45" s="112"/>
      <c r="W45" s="112"/>
      <c r="X45" s="112"/>
      <c r="Y45" s="112"/>
      <c r="Z45" s="112">
        <v>54000</v>
      </c>
      <c r="AA45" s="112">
        <v>0</v>
      </c>
      <c r="AB45" s="63"/>
      <c r="AC45" s="976">
        <f t="shared" si="6"/>
        <v>0</v>
      </c>
      <c r="AD45" s="288"/>
      <c r="AE45" s="288"/>
      <c r="AF45" s="288"/>
      <c r="AG45" s="288"/>
      <c r="AH45" s="63" t="s">
        <v>225</v>
      </c>
      <c r="AJ45" s="918"/>
      <c r="AK45" s="918"/>
      <c r="AL45" s="918">
        <f t="shared" si="1"/>
        <v>0</v>
      </c>
      <c r="AM45" s="918">
        <f t="shared" si="2"/>
        <v>0</v>
      </c>
      <c r="AN45" s="918">
        <f t="shared" si="3"/>
        <v>0</v>
      </c>
    </row>
    <row r="46" spans="1:40" ht="24" customHeight="1" x14ac:dyDescent="0.2">
      <c r="A46" s="889" t="s">
        <v>148</v>
      </c>
      <c r="B46" s="896" t="s">
        <v>126</v>
      </c>
      <c r="C46" s="613" t="s">
        <v>2092</v>
      </c>
      <c r="D46" s="919"/>
      <c r="E46" s="891">
        <f>+H46+K46+N46+Q46+T46+W46+Z46</f>
        <v>0</v>
      </c>
      <c r="F46" s="891">
        <f>+I46+L46+O46+R46+U46+X46+AA46</f>
        <v>13843000</v>
      </c>
      <c r="G46" s="891">
        <f t="shared" si="12"/>
        <v>0</v>
      </c>
      <c r="H46" s="112"/>
      <c r="I46" s="112"/>
      <c r="J46" s="112"/>
      <c r="K46" s="112"/>
      <c r="L46" s="112">
        <v>10900000</v>
      </c>
      <c r="M46" s="112"/>
      <c r="N46" s="112"/>
      <c r="O46" s="112"/>
      <c r="P46" s="63"/>
      <c r="Q46" s="892"/>
      <c r="R46" s="112"/>
      <c r="S46" s="112"/>
      <c r="T46" s="112"/>
      <c r="U46" s="112"/>
      <c r="V46" s="112"/>
      <c r="W46" s="112"/>
      <c r="X46" s="112"/>
      <c r="Y46" s="112"/>
      <c r="Z46" s="112"/>
      <c r="AA46" s="112">
        <f>648000+2295000</f>
        <v>2943000</v>
      </c>
      <c r="AB46" s="63"/>
      <c r="AC46" s="976">
        <f t="shared" si="6"/>
        <v>13843000</v>
      </c>
      <c r="AD46" s="288"/>
      <c r="AE46" s="288"/>
      <c r="AF46" s="288"/>
      <c r="AG46" s="288"/>
      <c r="AH46" s="63" t="s">
        <v>225</v>
      </c>
      <c r="AJ46" s="918"/>
      <c r="AK46" s="918"/>
      <c r="AL46" s="918">
        <f t="shared" si="1"/>
        <v>0</v>
      </c>
      <c r="AM46" s="918">
        <f t="shared" si="2"/>
        <v>0</v>
      </c>
      <c r="AN46" s="918">
        <f t="shared" si="3"/>
        <v>0</v>
      </c>
    </row>
    <row r="47" spans="1:40" ht="27" customHeight="1" x14ac:dyDescent="0.2">
      <c r="A47" s="889" t="s">
        <v>148</v>
      </c>
      <c r="B47" s="896" t="s">
        <v>126</v>
      </c>
      <c r="C47" s="613" t="s">
        <v>1211</v>
      </c>
      <c r="D47" s="919"/>
      <c r="E47" s="891">
        <f t="shared" si="11"/>
        <v>0</v>
      </c>
      <c r="F47" s="891">
        <f t="shared" si="11"/>
        <v>2476500</v>
      </c>
      <c r="G47" s="891">
        <f t="shared" si="12"/>
        <v>1981200</v>
      </c>
      <c r="H47" s="112"/>
      <c r="I47" s="112"/>
      <c r="J47" s="112"/>
      <c r="K47" s="112"/>
      <c r="L47" s="112">
        <v>1950000</v>
      </c>
      <c r="M47" s="112">
        <v>1560000</v>
      </c>
      <c r="N47" s="112"/>
      <c r="O47" s="112"/>
      <c r="P47" s="63"/>
      <c r="Q47" s="892"/>
      <c r="R47" s="112"/>
      <c r="S47" s="112"/>
      <c r="T47" s="112"/>
      <c r="U47" s="112"/>
      <c r="V47" s="112"/>
      <c r="W47" s="112"/>
      <c r="X47" s="112"/>
      <c r="Y47" s="112"/>
      <c r="Z47" s="112"/>
      <c r="AA47" s="112">
        <v>526500</v>
      </c>
      <c r="AB47" s="63">
        <v>421200</v>
      </c>
      <c r="AC47" s="976">
        <f t="shared" si="6"/>
        <v>2476500</v>
      </c>
      <c r="AD47" s="288"/>
      <c r="AE47" s="288"/>
      <c r="AF47" s="288"/>
      <c r="AG47" s="288"/>
      <c r="AH47" s="63" t="s">
        <v>225</v>
      </c>
      <c r="AJ47" s="918"/>
      <c r="AK47" s="918"/>
      <c r="AL47" s="918">
        <f t="shared" si="1"/>
        <v>1560000</v>
      </c>
      <c r="AM47" s="918">
        <f t="shared" si="2"/>
        <v>421200</v>
      </c>
      <c r="AN47" s="918">
        <f t="shared" si="3"/>
        <v>0</v>
      </c>
    </row>
    <row r="48" spans="1:40" ht="24" customHeight="1" x14ac:dyDescent="0.2">
      <c r="A48" s="889" t="s">
        <v>148</v>
      </c>
      <c r="B48" s="896" t="s">
        <v>126</v>
      </c>
      <c r="C48" s="613" t="s">
        <v>2093</v>
      </c>
      <c r="D48" s="919"/>
      <c r="E48" s="891">
        <f>+H48+K48+N48+Q48+T48+W48+Z48</f>
        <v>0</v>
      </c>
      <c r="F48" s="891">
        <f>+I48+L48+O48+R48+U48+X48+AA48</f>
        <v>1187450</v>
      </c>
      <c r="G48" s="891">
        <f t="shared" si="12"/>
        <v>0</v>
      </c>
      <c r="H48" s="112"/>
      <c r="I48" s="112"/>
      <c r="J48" s="112"/>
      <c r="K48" s="112"/>
      <c r="L48" s="112">
        <v>935000</v>
      </c>
      <c r="M48" s="112"/>
      <c r="N48" s="112"/>
      <c r="O48" s="112"/>
      <c r="P48" s="63"/>
      <c r="Q48" s="892"/>
      <c r="R48" s="112"/>
      <c r="S48" s="112"/>
      <c r="T48" s="112"/>
      <c r="U48" s="112"/>
      <c r="V48" s="112"/>
      <c r="W48" s="112"/>
      <c r="X48" s="112"/>
      <c r="Y48" s="112"/>
      <c r="Z48" s="112"/>
      <c r="AA48" s="112">
        <v>252450</v>
      </c>
      <c r="AB48" s="63"/>
      <c r="AC48" s="976">
        <f t="shared" si="6"/>
        <v>1187450</v>
      </c>
      <c r="AD48" s="288"/>
      <c r="AE48" s="288"/>
      <c r="AF48" s="288"/>
      <c r="AG48" s="288"/>
      <c r="AH48" s="63" t="s">
        <v>225</v>
      </c>
      <c r="AJ48" s="918"/>
      <c r="AK48" s="918"/>
      <c r="AL48" s="918">
        <f t="shared" si="1"/>
        <v>0</v>
      </c>
      <c r="AM48" s="918">
        <f t="shared" si="2"/>
        <v>0</v>
      </c>
      <c r="AN48" s="918">
        <f t="shared" si="3"/>
        <v>0</v>
      </c>
    </row>
    <row r="49" spans="1:40" ht="27" customHeight="1" x14ac:dyDescent="0.2">
      <c r="A49" s="889" t="s">
        <v>129</v>
      </c>
      <c r="B49" s="896" t="s">
        <v>514</v>
      </c>
      <c r="C49" s="613" t="s">
        <v>995</v>
      </c>
      <c r="D49" s="919"/>
      <c r="E49" s="891">
        <f t="shared" si="11"/>
        <v>254000</v>
      </c>
      <c r="F49" s="891">
        <f t="shared" si="11"/>
        <v>0</v>
      </c>
      <c r="G49" s="891">
        <f t="shared" si="12"/>
        <v>0</v>
      </c>
      <c r="H49" s="112"/>
      <c r="I49" s="112"/>
      <c r="J49" s="112"/>
      <c r="K49" s="112">
        <v>200000</v>
      </c>
      <c r="L49" s="112">
        <v>0</v>
      </c>
      <c r="M49" s="112"/>
      <c r="N49" s="112"/>
      <c r="O49" s="112"/>
      <c r="P49" s="63"/>
      <c r="Q49" s="892"/>
      <c r="R49" s="112"/>
      <c r="S49" s="112"/>
      <c r="T49" s="112"/>
      <c r="U49" s="112"/>
      <c r="V49" s="112"/>
      <c r="W49" s="112"/>
      <c r="X49" s="112"/>
      <c r="Y49" s="112"/>
      <c r="Z49" s="112">
        <v>54000</v>
      </c>
      <c r="AA49" s="112">
        <v>0</v>
      </c>
      <c r="AB49" s="63"/>
      <c r="AC49" s="976">
        <f t="shared" si="6"/>
        <v>0</v>
      </c>
      <c r="AD49" s="288"/>
      <c r="AE49" s="288"/>
      <c r="AF49" s="288"/>
      <c r="AG49" s="288"/>
      <c r="AH49" s="63" t="s">
        <v>225</v>
      </c>
      <c r="AJ49" s="918"/>
      <c r="AK49" s="918"/>
      <c r="AL49" s="918">
        <f t="shared" si="1"/>
        <v>0</v>
      </c>
      <c r="AM49" s="918">
        <f t="shared" si="2"/>
        <v>0</v>
      </c>
      <c r="AN49" s="918">
        <f t="shared" si="3"/>
        <v>0</v>
      </c>
    </row>
    <row r="50" spans="1:40" ht="27.75" customHeight="1" x14ac:dyDescent="0.2">
      <c r="A50" s="889" t="s">
        <v>125</v>
      </c>
      <c r="B50" s="896" t="s">
        <v>126</v>
      </c>
      <c r="C50" s="613" t="s">
        <v>903</v>
      </c>
      <c r="D50" s="919"/>
      <c r="E50" s="891">
        <f t="shared" si="11"/>
        <v>0</v>
      </c>
      <c r="F50" s="891">
        <f t="shared" si="11"/>
        <v>48600145</v>
      </c>
      <c r="G50" s="891">
        <f t="shared" si="12"/>
        <v>48600145</v>
      </c>
      <c r="H50" s="112"/>
      <c r="I50" s="112"/>
      <c r="J50" s="112"/>
      <c r="K50" s="112"/>
      <c r="L50" s="112">
        <v>48600145</v>
      </c>
      <c r="M50" s="112">
        <v>48600145</v>
      </c>
      <c r="N50" s="112"/>
      <c r="O50" s="112"/>
      <c r="P50" s="63"/>
      <c r="Q50" s="892"/>
      <c r="R50" s="112"/>
      <c r="S50" s="112"/>
      <c r="T50" s="112"/>
      <c r="U50" s="112"/>
      <c r="V50" s="112"/>
      <c r="W50" s="112"/>
      <c r="X50" s="112"/>
      <c r="Y50" s="112"/>
      <c r="Z50" s="112"/>
      <c r="AA50" s="112"/>
      <c r="AB50" s="63"/>
      <c r="AC50" s="976">
        <f t="shared" si="6"/>
        <v>48600145</v>
      </c>
      <c r="AD50" s="288"/>
      <c r="AE50" s="288"/>
      <c r="AF50" s="288"/>
      <c r="AG50" s="288"/>
      <c r="AH50" s="63" t="s">
        <v>225</v>
      </c>
      <c r="AJ50" s="918"/>
      <c r="AK50" s="918"/>
      <c r="AL50" s="918">
        <f t="shared" si="1"/>
        <v>38267830.708661415</v>
      </c>
      <c r="AM50" s="918">
        <f t="shared" si="2"/>
        <v>10332314.291338585</v>
      </c>
      <c r="AN50" s="918">
        <f t="shared" si="3"/>
        <v>-10332314.291338585</v>
      </c>
    </row>
    <row r="51" spans="1:40" ht="27.75" customHeight="1" x14ac:dyDescent="0.2">
      <c r="A51" s="889" t="s">
        <v>125</v>
      </c>
      <c r="B51" s="896" t="s">
        <v>126</v>
      </c>
      <c r="C51" s="613" t="s">
        <v>961</v>
      </c>
      <c r="D51" s="919"/>
      <c r="E51" s="891">
        <f t="shared" si="11"/>
        <v>0</v>
      </c>
      <c r="F51" s="891">
        <f t="shared" si="11"/>
        <v>0</v>
      </c>
      <c r="G51" s="891">
        <f t="shared" si="12"/>
        <v>0</v>
      </c>
      <c r="H51" s="112"/>
      <c r="I51" s="112"/>
      <c r="J51" s="112"/>
      <c r="K51" s="112"/>
      <c r="L51" s="112"/>
      <c r="M51" s="112"/>
      <c r="N51" s="112"/>
      <c r="O51" s="112"/>
      <c r="P51" s="63"/>
      <c r="Q51" s="892"/>
      <c r="R51" s="112"/>
      <c r="S51" s="112"/>
      <c r="T51" s="112"/>
      <c r="U51" s="112"/>
      <c r="V51" s="112"/>
      <c r="W51" s="112"/>
      <c r="X51" s="112"/>
      <c r="Y51" s="112"/>
      <c r="Z51" s="112"/>
      <c r="AA51" s="112"/>
      <c r="AB51" s="63"/>
      <c r="AC51" s="976">
        <f t="shared" si="6"/>
        <v>0</v>
      </c>
      <c r="AD51" s="288"/>
      <c r="AE51" s="288"/>
      <c r="AF51" s="288"/>
      <c r="AG51" s="288"/>
      <c r="AH51" s="63" t="s">
        <v>225</v>
      </c>
      <c r="AJ51" s="918"/>
      <c r="AK51" s="918"/>
      <c r="AL51" s="918">
        <f t="shared" si="1"/>
        <v>0</v>
      </c>
      <c r="AM51" s="918">
        <f t="shared" si="2"/>
        <v>0</v>
      </c>
      <c r="AN51" s="918">
        <f t="shared" si="3"/>
        <v>0</v>
      </c>
    </row>
    <row r="52" spans="1:40" ht="27.75" customHeight="1" x14ac:dyDescent="0.2">
      <c r="A52" s="889" t="s">
        <v>125</v>
      </c>
      <c r="B52" s="896" t="s">
        <v>126</v>
      </c>
      <c r="C52" s="613" t="s">
        <v>2191</v>
      </c>
      <c r="D52" s="919"/>
      <c r="E52" s="891">
        <f>+H52+K52+N52+Q52+T52+W52+Z52</f>
        <v>0</v>
      </c>
      <c r="F52" s="891">
        <f>+I52+L52+O52+R52+U52+X52+AA52</f>
        <v>6023622</v>
      </c>
      <c r="G52" s="891">
        <f>+J52+M52+P52+S52+V52+Y52+AB52</f>
        <v>0</v>
      </c>
      <c r="H52" s="112"/>
      <c r="I52" s="112"/>
      <c r="J52" s="112"/>
      <c r="K52" s="112"/>
      <c r="L52" s="112">
        <v>6023622</v>
      </c>
      <c r="M52" s="112"/>
      <c r="N52" s="112"/>
      <c r="O52" s="112"/>
      <c r="P52" s="943"/>
      <c r="Q52" s="892"/>
      <c r="R52" s="112"/>
      <c r="S52" s="112"/>
      <c r="T52" s="112"/>
      <c r="U52" s="112"/>
      <c r="V52" s="112"/>
      <c r="W52" s="112"/>
      <c r="X52" s="112"/>
      <c r="Y52" s="112"/>
      <c r="Z52" s="112"/>
      <c r="AA52" s="112"/>
      <c r="AB52" s="943"/>
      <c r="AC52" s="976">
        <f t="shared" si="6"/>
        <v>6023622</v>
      </c>
      <c r="AD52" s="288"/>
      <c r="AE52" s="288"/>
      <c r="AF52" s="288"/>
      <c r="AG52" s="288"/>
      <c r="AH52" s="63"/>
      <c r="AJ52" s="918"/>
      <c r="AK52" s="918"/>
      <c r="AL52" s="918"/>
      <c r="AM52" s="918"/>
      <c r="AN52" s="918"/>
    </row>
    <row r="53" spans="1:40" ht="36.75" customHeight="1" x14ac:dyDescent="0.2">
      <c r="A53" s="889" t="s">
        <v>680</v>
      </c>
      <c r="B53" s="896" t="s">
        <v>514</v>
      </c>
      <c r="C53" s="388" t="s">
        <v>1241</v>
      </c>
      <c r="D53" s="896"/>
      <c r="E53" s="891">
        <f t="shared" si="11"/>
        <v>508000</v>
      </c>
      <c r="F53" s="891">
        <f t="shared" si="11"/>
        <v>508000</v>
      </c>
      <c r="G53" s="891">
        <f t="shared" si="12"/>
        <v>508000</v>
      </c>
      <c r="H53" s="112"/>
      <c r="I53" s="112"/>
      <c r="J53" s="112"/>
      <c r="K53" s="112">
        <v>400000</v>
      </c>
      <c r="L53" s="112">
        <v>400000</v>
      </c>
      <c r="M53" s="112">
        <v>400000</v>
      </c>
      <c r="N53" s="112"/>
      <c r="O53" s="112"/>
      <c r="P53" s="112"/>
      <c r="Q53" s="112"/>
      <c r="R53" s="112"/>
      <c r="S53" s="112"/>
      <c r="T53" s="112"/>
      <c r="U53" s="112"/>
      <c r="V53" s="112"/>
      <c r="W53" s="112"/>
      <c r="X53" s="112"/>
      <c r="Y53" s="112"/>
      <c r="Z53" s="112">
        <v>108000</v>
      </c>
      <c r="AA53" s="112">
        <v>108000</v>
      </c>
      <c r="AB53" s="112">
        <v>108000</v>
      </c>
      <c r="AC53" s="976">
        <f t="shared" si="6"/>
        <v>508000</v>
      </c>
      <c r="AD53" s="288"/>
      <c r="AE53" s="288"/>
      <c r="AF53" s="288"/>
      <c r="AG53" s="288"/>
      <c r="AH53" s="63" t="s">
        <v>225</v>
      </c>
      <c r="AJ53" s="918"/>
      <c r="AK53" s="918"/>
      <c r="AL53" s="918">
        <f t="shared" si="1"/>
        <v>400000</v>
      </c>
      <c r="AM53" s="918">
        <f t="shared" si="2"/>
        <v>108000</v>
      </c>
      <c r="AN53" s="918">
        <f t="shared" si="3"/>
        <v>0</v>
      </c>
    </row>
    <row r="54" spans="1:40" ht="33" customHeight="1" x14ac:dyDescent="0.2">
      <c r="A54" s="889" t="s">
        <v>680</v>
      </c>
      <c r="B54" s="896" t="s">
        <v>514</v>
      </c>
      <c r="C54" s="388" t="s">
        <v>2186</v>
      </c>
      <c r="D54" s="896"/>
      <c r="E54" s="891">
        <f t="shared" ref="E54:G55" si="13">+H54+K54+N54+Q54+T54+W54+Z54</f>
        <v>0</v>
      </c>
      <c r="F54" s="891">
        <f t="shared" si="13"/>
        <v>34621550</v>
      </c>
      <c r="G54" s="891">
        <f t="shared" si="13"/>
        <v>0</v>
      </c>
      <c r="H54" s="113"/>
      <c r="I54" s="113"/>
      <c r="J54" s="113"/>
      <c r="K54" s="113"/>
      <c r="L54" s="113">
        <v>34621550</v>
      </c>
      <c r="M54" s="113"/>
      <c r="N54" s="113"/>
      <c r="O54" s="113"/>
      <c r="P54" s="113"/>
      <c r="Q54" s="113"/>
      <c r="R54" s="113"/>
      <c r="S54" s="113"/>
      <c r="T54" s="113"/>
      <c r="U54" s="113"/>
      <c r="V54" s="113"/>
      <c r="W54" s="113"/>
      <c r="X54" s="113"/>
      <c r="Y54" s="113"/>
      <c r="Z54" s="113"/>
      <c r="AA54" s="113"/>
      <c r="AB54" s="113"/>
      <c r="AC54" s="976">
        <f t="shared" si="6"/>
        <v>34621550</v>
      </c>
      <c r="AD54" s="932"/>
      <c r="AE54" s="932"/>
      <c r="AF54" s="932"/>
      <c r="AG54" s="932"/>
      <c r="AH54" s="922" t="s">
        <v>225</v>
      </c>
      <c r="AJ54" s="918"/>
      <c r="AK54" s="918"/>
      <c r="AL54" s="918"/>
      <c r="AM54" s="918"/>
      <c r="AN54" s="918"/>
    </row>
    <row r="55" spans="1:40" ht="30" customHeight="1" x14ac:dyDescent="0.2">
      <c r="A55" s="940" t="s">
        <v>680</v>
      </c>
      <c r="B55" s="941" t="s">
        <v>514</v>
      </c>
      <c r="C55" s="332" t="s">
        <v>962</v>
      </c>
      <c r="D55" s="941"/>
      <c r="E55" s="899">
        <f t="shared" si="13"/>
        <v>0</v>
      </c>
      <c r="F55" s="891">
        <f t="shared" si="13"/>
        <v>0</v>
      </c>
      <c r="G55" s="891">
        <f t="shared" si="13"/>
        <v>0</v>
      </c>
      <c r="H55" s="143"/>
      <c r="I55" s="143"/>
      <c r="J55" s="143"/>
      <c r="K55" s="143"/>
      <c r="L55" s="143">
        <v>0</v>
      </c>
      <c r="M55" s="143"/>
      <c r="N55" s="143"/>
      <c r="O55" s="143"/>
      <c r="P55" s="143"/>
      <c r="Q55" s="143"/>
      <c r="R55" s="143"/>
      <c r="S55" s="143"/>
      <c r="T55" s="143"/>
      <c r="U55" s="143"/>
      <c r="V55" s="143"/>
      <c r="W55" s="143"/>
      <c r="X55" s="143"/>
      <c r="Y55" s="143"/>
      <c r="Z55" s="143"/>
      <c r="AA55" s="143"/>
      <c r="AB55" s="143"/>
      <c r="AC55" s="976">
        <f t="shared" si="6"/>
        <v>0</v>
      </c>
      <c r="AD55" s="285"/>
      <c r="AE55" s="285"/>
      <c r="AF55" s="285"/>
      <c r="AG55" s="285"/>
      <c r="AH55" s="162" t="s">
        <v>225</v>
      </c>
      <c r="AJ55" s="918"/>
      <c r="AK55" s="918"/>
      <c r="AL55" s="918">
        <f t="shared" si="1"/>
        <v>0</v>
      </c>
      <c r="AM55" s="918">
        <f t="shared" si="2"/>
        <v>0</v>
      </c>
      <c r="AN55" s="918">
        <f t="shared" si="3"/>
        <v>0</v>
      </c>
    </row>
    <row r="56" spans="1:40" s="9" customFormat="1" ht="21.75" customHeight="1" x14ac:dyDescent="0.2">
      <c r="A56" s="917" t="s">
        <v>19</v>
      </c>
      <c r="B56" s="691"/>
      <c r="C56" s="691"/>
      <c r="D56" s="687"/>
      <c r="E56" s="276">
        <f>SUM(E57:E59)</f>
        <v>0</v>
      </c>
      <c r="F56" s="276">
        <f t="shared" ref="F56:AG56" si="14">SUM(F57:F59)</f>
        <v>0</v>
      </c>
      <c r="G56" s="276">
        <f t="shared" si="14"/>
        <v>0</v>
      </c>
      <c r="H56" s="276">
        <f t="shared" si="14"/>
        <v>0</v>
      </c>
      <c r="I56" s="276">
        <f t="shared" si="14"/>
        <v>0</v>
      </c>
      <c r="J56" s="276">
        <f t="shared" si="14"/>
        <v>0</v>
      </c>
      <c r="K56" s="276">
        <f t="shared" si="14"/>
        <v>0</v>
      </c>
      <c r="L56" s="276">
        <f t="shared" si="14"/>
        <v>0</v>
      </c>
      <c r="M56" s="276">
        <f t="shared" si="14"/>
        <v>0</v>
      </c>
      <c r="N56" s="276">
        <f t="shared" si="14"/>
        <v>0</v>
      </c>
      <c r="O56" s="276">
        <f t="shared" si="14"/>
        <v>0</v>
      </c>
      <c r="P56" s="276">
        <f t="shared" si="14"/>
        <v>0</v>
      </c>
      <c r="Q56" s="884">
        <f t="shared" si="14"/>
        <v>0</v>
      </c>
      <c r="R56" s="276">
        <f t="shared" si="14"/>
        <v>0</v>
      </c>
      <c r="S56" s="276">
        <f t="shared" si="14"/>
        <v>0</v>
      </c>
      <c r="T56" s="276">
        <f t="shared" si="14"/>
        <v>0</v>
      </c>
      <c r="U56" s="276">
        <f t="shared" si="14"/>
        <v>0</v>
      </c>
      <c r="V56" s="276">
        <f t="shared" si="14"/>
        <v>0</v>
      </c>
      <c r="W56" s="276">
        <f t="shared" si="14"/>
        <v>0</v>
      </c>
      <c r="X56" s="276">
        <f t="shared" si="14"/>
        <v>0</v>
      </c>
      <c r="Y56" s="276">
        <f t="shared" si="14"/>
        <v>0</v>
      </c>
      <c r="Z56" s="276">
        <f t="shared" si="14"/>
        <v>0</v>
      </c>
      <c r="AA56" s="91">
        <f t="shared" si="14"/>
        <v>0</v>
      </c>
      <c r="AB56" s="91">
        <f t="shared" si="14"/>
        <v>0</v>
      </c>
      <c r="AC56" s="884">
        <f t="shared" si="14"/>
        <v>0</v>
      </c>
      <c r="AD56" s="276">
        <f t="shared" si="14"/>
        <v>0</v>
      </c>
      <c r="AE56" s="276">
        <f t="shared" si="14"/>
        <v>0</v>
      </c>
      <c r="AF56" s="276">
        <f t="shared" si="14"/>
        <v>0</v>
      </c>
      <c r="AG56" s="276">
        <f t="shared" si="14"/>
        <v>0</v>
      </c>
      <c r="AH56" s="91"/>
      <c r="AI56" s="9" t="e">
        <f>+AC56+AD56+AF56+#REF!</f>
        <v>#REF!</v>
      </c>
      <c r="AJ56" s="918">
        <f>SUM(AC56:AG56)</f>
        <v>0</v>
      </c>
      <c r="AK56" s="918">
        <f>+AJ56-E56</f>
        <v>0</v>
      </c>
      <c r="AL56" s="918">
        <f t="shared" si="1"/>
        <v>0</v>
      </c>
      <c r="AM56" s="918">
        <f t="shared" si="2"/>
        <v>0</v>
      </c>
      <c r="AN56" s="918">
        <f t="shared" si="3"/>
        <v>0</v>
      </c>
    </row>
    <row r="57" spans="1:40" ht="30.75" customHeight="1" x14ac:dyDescent="0.2">
      <c r="A57" s="885"/>
      <c r="B57" s="352"/>
      <c r="C57" s="283"/>
      <c r="D57" s="928"/>
      <c r="E57" s="887"/>
      <c r="F57" s="887"/>
      <c r="G57" s="887"/>
      <c r="H57" s="308"/>
      <c r="I57" s="308"/>
      <c r="J57" s="308"/>
      <c r="K57" s="308"/>
      <c r="L57" s="308"/>
      <c r="M57" s="308"/>
      <c r="N57" s="308"/>
      <c r="O57" s="308"/>
      <c r="P57" s="309"/>
      <c r="Q57" s="888"/>
      <c r="R57" s="308"/>
      <c r="S57" s="308"/>
      <c r="T57" s="308"/>
      <c r="U57" s="308"/>
      <c r="V57" s="308"/>
      <c r="W57" s="308"/>
      <c r="X57" s="308"/>
      <c r="Y57" s="308"/>
      <c r="Z57" s="308"/>
      <c r="AA57" s="308"/>
      <c r="AB57" s="309"/>
      <c r="AC57" s="976">
        <f t="shared" si="6"/>
        <v>0</v>
      </c>
      <c r="AD57" s="365"/>
      <c r="AE57" s="365"/>
      <c r="AF57" s="365"/>
      <c r="AG57" s="284"/>
      <c r="AH57" s="309"/>
      <c r="AJ57" s="918"/>
      <c r="AK57" s="918"/>
      <c r="AL57" s="918">
        <f t="shared" si="1"/>
        <v>0</v>
      </c>
      <c r="AM57" s="918">
        <f t="shared" si="2"/>
        <v>0</v>
      </c>
      <c r="AN57" s="918">
        <f t="shared" si="3"/>
        <v>0</v>
      </c>
    </row>
    <row r="58" spans="1:40" ht="30.75" customHeight="1" x14ac:dyDescent="0.2">
      <c r="A58" s="889"/>
      <c r="B58" s="289"/>
      <c r="C58" s="613"/>
      <c r="D58" s="919"/>
      <c r="E58" s="891"/>
      <c r="F58" s="891"/>
      <c r="G58" s="891"/>
      <c r="H58" s="112"/>
      <c r="I58" s="112"/>
      <c r="J58" s="112"/>
      <c r="K58" s="112"/>
      <c r="L58" s="112"/>
      <c r="M58" s="112"/>
      <c r="N58" s="112"/>
      <c r="O58" s="112"/>
      <c r="P58" s="63"/>
      <c r="Q58" s="892"/>
      <c r="R58" s="112"/>
      <c r="S58" s="112"/>
      <c r="T58" s="112"/>
      <c r="U58" s="112"/>
      <c r="V58" s="112"/>
      <c r="W58" s="112"/>
      <c r="X58" s="112"/>
      <c r="Y58" s="112"/>
      <c r="Z58" s="112"/>
      <c r="AA58" s="112"/>
      <c r="AB58" s="63"/>
      <c r="AC58" s="976">
        <f t="shared" si="6"/>
        <v>0</v>
      </c>
      <c r="AD58" s="288"/>
      <c r="AE58" s="288"/>
      <c r="AF58" s="288"/>
      <c r="AG58" s="124"/>
      <c r="AH58" s="63"/>
      <c r="AJ58" s="918"/>
      <c r="AK58" s="918"/>
      <c r="AL58" s="918">
        <f t="shared" si="1"/>
        <v>0</v>
      </c>
      <c r="AM58" s="918">
        <f t="shared" si="2"/>
        <v>0</v>
      </c>
      <c r="AN58" s="918">
        <f t="shared" si="3"/>
        <v>0</v>
      </c>
    </row>
    <row r="59" spans="1:40" ht="30.75" customHeight="1" x14ac:dyDescent="0.2">
      <c r="A59" s="940"/>
      <c r="B59" s="323"/>
      <c r="C59" s="142"/>
      <c r="D59" s="942"/>
      <c r="E59" s="899"/>
      <c r="F59" s="899"/>
      <c r="G59" s="899"/>
      <c r="H59" s="143"/>
      <c r="I59" s="143"/>
      <c r="J59" s="143"/>
      <c r="K59" s="143"/>
      <c r="L59" s="143"/>
      <c r="M59" s="143"/>
      <c r="N59" s="143"/>
      <c r="O59" s="143"/>
      <c r="P59" s="162"/>
      <c r="Q59" s="900"/>
      <c r="R59" s="143"/>
      <c r="S59" s="143"/>
      <c r="T59" s="143"/>
      <c r="U59" s="143"/>
      <c r="V59" s="143"/>
      <c r="W59" s="143"/>
      <c r="X59" s="143"/>
      <c r="Y59" s="143"/>
      <c r="Z59" s="143"/>
      <c r="AA59" s="143"/>
      <c r="AB59" s="162"/>
      <c r="AC59" s="976">
        <f t="shared" si="6"/>
        <v>0</v>
      </c>
      <c r="AD59" s="285"/>
      <c r="AE59" s="285"/>
      <c r="AF59" s="285"/>
      <c r="AG59" s="141"/>
      <c r="AH59" s="162"/>
      <c r="AJ59" s="918"/>
      <c r="AK59" s="918"/>
      <c r="AL59" s="918">
        <f t="shared" si="1"/>
        <v>0</v>
      </c>
      <c r="AM59" s="918">
        <f t="shared" si="2"/>
        <v>0</v>
      </c>
      <c r="AN59" s="918">
        <f t="shared" si="3"/>
        <v>0</v>
      </c>
    </row>
    <row r="60" spans="1:40" s="9" customFormat="1" ht="23.25" customHeight="1" x14ac:dyDescent="0.2">
      <c r="A60" s="917" t="s">
        <v>20</v>
      </c>
      <c r="B60" s="691"/>
      <c r="C60" s="691"/>
      <c r="D60" s="687"/>
      <c r="E60" s="276">
        <f t="shared" ref="E60:AG60" si="15">SUM(E61:E74)</f>
        <v>83152153</v>
      </c>
      <c r="F60" s="276">
        <f t="shared" si="15"/>
        <v>127650156</v>
      </c>
      <c r="G60" s="276">
        <f t="shared" si="15"/>
        <v>46917952</v>
      </c>
      <c r="H60" s="276">
        <f t="shared" si="15"/>
        <v>0</v>
      </c>
      <c r="I60" s="276">
        <f t="shared" si="15"/>
        <v>0</v>
      </c>
      <c r="J60" s="276">
        <f t="shared" si="15"/>
        <v>0</v>
      </c>
      <c r="K60" s="276">
        <f t="shared" si="15"/>
        <v>79868677</v>
      </c>
      <c r="L60" s="276">
        <f t="shared" si="15"/>
        <v>118319530</v>
      </c>
      <c r="M60" s="276">
        <f t="shared" si="15"/>
        <v>40398844</v>
      </c>
      <c r="N60" s="276">
        <f t="shared" si="15"/>
        <v>0</v>
      </c>
      <c r="O60" s="276">
        <f t="shared" si="15"/>
        <v>0</v>
      </c>
      <c r="P60" s="91">
        <f t="shared" si="15"/>
        <v>0</v>
      </c>
      <c r="Q60" s="884">
        <f t="shared" si="15"/>
        <v>0</v>
      </c>
      <c r="R60" s="276">
        <f t="shared" si="15"/>
        <v>0</v>
      </c>
      <c r="S60" s="276">
        <f t="shared" si="15"/>
        <v>0</v>
      </c>
      <c r="T60" s="276">
        <f t="shared" si="15"/>
        <v>0</v>
      </c>
      <c r="U60" s="276">
        <f t="shared" si="15"/>
        <v>0</v>
      </c>
      <c r="V60" s="276">
        <f t="shared" si="15"/>
        <v>0</v>
      </c>
      <c r="W60" s="276">
        <f t="shared" si="15"/>
        <v>0</v>
      </c>
      <c r="X60" s="276">
        <f t="shared" si="15"/>
        <v>0</v>
      </c>
      <c r="Y60" s="276">
        <f t="shared" si="15"/>
        <v>0</v>
      </c>
      <c r="Z60" s="276">
        <f t="shared" si="15"/>
        <v>3283476</v>
      </c>
      <c r="AA60" s="91">
        <f t="shared" si="15"/>
        <v>9330626</v>
      </c>
      <c r="AB60" s="91">
        <f t="shared" si="15"/>
        <v>6519108</v>
      </c>
      <c r="AC60" s="884">
        <f t="shared" si="15"/>
        <v>127650156</v>
      </c>
      <c r="AD60" s="276">
        <f t="shared" si="15"/>
        <v>0</v>
      </c>
      <c r="AE60" s="276">
        <f t="shared" si="15"/>
        <v>0</v>
      </c>
      <c r="AF60" s="276">
        <f t="shared" si="15"/>
        <v>0</v>
      </c>
      <c r="AG60" s="276">
        <f t="shared" si="15"/>
        <v>652000000</v>
      </c>
      <c r="AH60" s="91"/>
      <c r="AI60" s="9" t="e">
        <f>+AC60+AD60+AF60+#REF!</f>
        <v>#REF!</v>
      </c>
      <c r="AJ60" s="918">
        <f>SUM(AC60:AG60)</f>
        <v>779650156</v>
      </c>
      <c r="AK60" s="918">
        <f>+AJ60-E60</f>
        <v>696498003</v>
      </c>
      <c r="AL60" s="918">
        <f t="shared" si="1"/>
        <v>36943269.291338585</v>
      </c>
      <c r="AM60" s="918">
        <f t="shared" si="2"/>
        <v>9974682.7086614147</v>
      </c>
      <c r="AN60" s="918">
        <f t="shared" si="3"/>
        <v>-3455574.7086614147</v>
      </c>
    </row>
    <row r="61" spans="1:40" ht="30.75" customHeight="1" x14ac:dyDescent="0.2">
      <c r="A61" s="885" t="s">
        <v>130</v>
      </c>
      <c r="B61" s="352" t="s">
        <v>587</v>
      </c>
      <c r="C61" s="283" t="s">
        <v>1033</v>
      </c>
      <c r="D61" s="928"/>
      <c r="E61" s="887">
        <f>+H61+K61+N61+Q61+T61+W61+Z61</f>
        <v>3022653</v>
      </c>
      <c r="F61" s="887">
        <f>+I61+L61+O61+R61+U61+X61+AA61</f>
        <v>3022653</v>
      </c>
      <c r="G61" s="887">
        <f t="shared" ref="G61:G70" si="16">+J61+M61+P61+S61+V61+Y61+AB61</f>
        <v>0</v>
      </c>
      <c r="H61" s="308"/>
      <c r="I61" s="308"/>
      <c r="J61" s="308"/>
      <c r="K61" s="308">
        <v>3022653</v>
      </c>
      <c r="L61" s="308">
        <v>3022653</v>
      </c>
      <c r="M61" s="308"/>
      <c r="N61" s="308"/>
      <c r="O61" s="308"/>
      <c r="P61" s="309"/>
      <c r="Q61" s="888"/>
      <c r="R61" s="308"/>
      <c r="S61" s="308"/>
      <c r="T61" s="308"/>
      <c r="U61" s="308"/>
      <c r="V61" s="308"/>
      <c r="W61" s="308"/>
      <c r="X61" s="308"/>
      <c r="Y61" s="308"/>
      <c r="Z61" s="308"/>
      <c r="AA61" s="308"/>
      <c r="AB61" s="309"/>
      <c r="AC61" s="976">
        <f t="shared" si="6"/>
        <v>3022653</v>
      </c>
      <c r="AD61" s="365"/>
      <c r="AE61" s="365"/>
      <c r="AF61" s="365"/>
      <c r="AG61" s="284"/>
      <c r="AH61" s="309" t="s">
        <v>225</v>
      </c>
      <c r="AJ61" s="918"/>
      <c r="AK61" s="918"/>
      <c r="AL61" s="918">
        <f t="shared" si="1"/>
        <v>0</v>
      </c>
      <c r="AM61" s="918">
        <f t="shared" si="2"/>
        <v>0</v>
      </c>
      <c r="AN61" s="918">
        <f t="shared" si="3"/>
        <v>0</v>
      </c>
    </row>
    <row r="62" spans="1:40" ht="30.75" customHeight="1" x14ac:dyDescent="0.2">
      <c r="A62" s="889" t="s">
        <v>130</v>
      </c>
      <c r="B62" s="289" t="s">
        <v>587</v>
      </c>
      <c r="C62" s="613" t="s">
        <v>1034</v>
      </c>
      <c r="D62" s="919"/>
      <c r="E62" s="891">
        <f t="shared" ref="E62:F74" si="17">+H62+K62+N62+Q62+T62+W62+Z62</f>
        <v>7985000</v>
      </c>
      <c r="F62" s="891">
        <f t="shared" si="17"/>
        <v>7985000</v>
      </c>
      <c r="G62" s="891">
        <f t="shared" si="16"/>
        <v>0</v>
      </c>
      <c r="H62" s="112"/>
      <c r="I62" s="112"/>
      <c r="J62" s="112"/>
      <c r="K62" s="112">
        <v>7985000</v>
      </c>
      <c r="L62" s="112">
        <v>7985000</v>
      </c>
      <c r="M62" s="112"/>
      <c r="N62" s="112"/>
      <c r="O62" s="112"/>
      <c r="P62" s="63"/>
      <c r="Q62" s="892"/>
      <c r="R62" s="112"/>
      <c r="S62" s="112"/>
      <c r="T62" s="112"/>
      <c r="U62" s="112"/>
      <c r="V62" s="112"/>
      <c r="W62" s="112"/>
      <c r="X62" s="112"/>
      <c r="Y62" s="112"/>
      <c r="Z62" s="112"/>
      <c r="AA62" s="112"/>
      <c r="AB62" s="63"/>
      <c r="AC62" s="976">
        <f t="shared" si="6"/>
        <v>7985000</v>
      </c>
      <c r="AD62" s="288"/>
      <c r="AE62" s="288"/>
      <c r="AF62" s="288"/>
      <c r="AG62" s="124"/>
      <c r="AH62" s="63" t="s">
        <v>225</v>
      </c>
      <c r="AJ62" s="918"/>
      <c r="AK62" s="918"/>
      <c r="AL62" s="918">
        <f t="shared" si="1"/>
        <v>0</v>
      </c>
      <c r="AM62" s="918">
        <f t="shared" si="2"/>
        <v>0</v>
      </c>
      <c r="AN62" s="918">
        <f t="shared" si="3"/>
        <v>0</v>
      </c>
    </row>
    <row r="63" spans="1:40" ht="30.75" customHeight="1" x14ac:dyDescent="0.2">
      <c r="A63" s="889" t="s">
        <v>130</v>
      </c>
      <c r="B63" s="289" t="s">
        <v>587</v>
      </c>
      <c r="C63" s="613" t="s">
        <v>1501</v>
      </c>
      <c r="D63" s="919"/>
      <c r="E63" s="891">
        <f t="shared" si="17"/>
        <v>200000</v>
      </c>
      <c r="F63" s="891">
        <f t="shared" si="17"/>
        <v>12195149</v>
      </c>
      <c r="G63" s="891">
        <f>+J63+M63+P63+S63+V63+Y63+AB63</f>
        <v>12195149</v>
      </c>
      <c r="H63" s="112"/>
      <c r="I63" s="112"/>
      <c r="J63" s="112"/>
      <c r="K63" s="112">
        <v>200000</v>
      </c>
      <c r="L63" s="112">
        <v>9644999</v>
      </c>
      <c r="M63" s="112">
        <f>200000+9444999</f>
        <v>9644999</v>
      </c>
      <c r="N63" s="112"/>
      <c r="O63" s="112"/>
      <c r="P63" s="63"/>
      <c r="Q63" s="892"/>
      <c r="R63" s="112"/>
      <c r="S63" s="112"/>
      <c r="T63" s="112"/>
      <c r="U63" s="112"/>
      <c r="V63" s="112"/>
      <c r="W63" s="112"/>
      <c r="X63" s="112"/>
      <c r="Y63" s="112"/>
      <c r="Z63" s="112"/>
      <c r="AA63" s="112">
        <f>1619824+930326</f>
        <v>2550150</v>
      </c>
      <c r="AB63" s="63">
        <v>2550150</v>
      </c>
      <c r="AC63" s="976">
        <f t="shared" si="6"/>
        <v>12195149</v>
      </c>
      <c r="AD63" s="288"/>
      <c r="AE63" s="288"/>
      <c r="AF63" s="288"/>
      <c r="AG63" s="124"/>
      <c r="AH63" s="63" t="s">
        <v>225</v>
      </c>
      <c r="AJ63" s="918"/>
      <c r="AK63" s="918"/>
      <c r="AL63" s="918">
        <f t="shared" si="1"/>
        <v>9602479.527559055</v>
      </c>
      <c r="AM63" s="918">
        <f t="shared" si="2"/>
        <v>2592669.472440945</v>
      </c>
      <c r="AN63" s="918">
        <f t="shared" si="3"/>
        <v>-42519.472440944985</v>
      </c>
    </row>
    <row r="64" spans="1:40" ht="30.75" customHeight="1" x14ac:dyDescent="0.2">
      <c r="A64" s="889" t="s">
        <v>130</v>
      </c>
      <c r="B64" s="289" t="s">
        <v>587</v>
      </c>
      <c r="C64" s="613" t="s">
        <v>958</v>
      </c>
      <c r="D64" s="919"/>
      <c r="E64" s="891">
        <f t="shared" si="17"/>
        <v>6500000</v>
      </c>
      <c r="F64" s="891">
        <f t="shared" si="17"/>
        <v>10000000</v>
      </c>
      <c r="G64" s="891">
        <f>+J64+M64+P64+S64+V64+Y64+AB64</f>
        <v>9999999</v>
      </c>
      <c r="H64" s="112"/>
      <c r="I64" s="112"/>
      <c r="J64" s="112"/>
      <c r="K64" s="112">
        <v>6500000</v>
      </c>
      <c r="L64" s="112">
        <f>6500000+3500000</f>
        <v>10000000</v>
      </c>
      <c r="M64" s="112">
        <v>9999999</v>
      </c>
      <c r="N64" s="112"/>
      <c r="O64" s="112"/>
      <c r="P64" s="63"/>
      <c r="Q64" s="892"/>
      <c r="R64" s="112"/>
      <c r="S64" s="112"/>
      <c r="T64" s="112"/>
      <c r="U64" s="112"/>
      <c r="V64" s="112"/>
      <c r="W64" s="112"/>
      <c r="X64" s="112"/>
      <c r="Y64" s="112"/>
      <c r="Z64" s="112"/>
      <c r="AA64" s="112"/>
      <c r="AB64" s="63"/>
      <c r="AC64" s="976">
        <f t="shared" si="6"/>
        <v>10000000</v>
      </c>
      <c r="AD64" s="288"/>
      <c r="AE64" s="288"/>
      <c r="AF64" s="288"/>
      <c r="AG64" s="124"/>
      <c r="AH64" s="63" t="s">
        <v>225</v>
      </c>
      <c r="AJ64" s="918"/>
      <c r="AK64" s="918"/>
      <c r="AL64" s="918">
        <f t="shared" si="1"/>
        <v>7874014.9606299214</v>
      </c>
      <c r="AM64" s="918">
        <f t="shared" si="2"/>
        <v>2125984.0393700786</v>
      </c>
      <c r="AN64" s="918">
        <f t="shared" si="3"/>
        <v>-2125984.0393700786</v>
      </c>
    </row>
    <row r="65" spans="1:40" ht="30.75" customHeight="1" x14ac:dyDescent="0.2">
      <c r="A65" s="889" t="s">
        <v>130</v>
      </c>
      <c r="B65" s="289" t="s">
        <v>587</v>
      </c>
      <c r="C65" s="613" t="s">
        <v>959</v>
      </c>
      <c r="D65" s="919"/>
      <c r="E65" s="891">
        <f t="shared" si="17"/>
        <v>0</v>
      </c>
      <c r="F65" s="891">
        <f t="shared" si="17"/>
        <v>0</v>
      </c>
      <c r="G65" s="891">
        <f t="shared" si="16"/>
        <v>0</v>
      </c>
      <c r="H65" s="112"/>
      <c r="I65" s="112"/>
      <c r="J65" s="112"/>
      <c r="K65" s="112"/>
      <c r="L65" s="112"/>
      <c r="M65" s="112"/>
      <c r="N65" s="112"/>
      <c r="O65" s="112"/>
      <c r="P65" s="63"/>
      <c r="Q65" s="892"/>
      <c r="R65" s="112"/>
      <c r="S65" s="112"/>
      <c r="T65" s="112"/>
      <c r="U65" s="112"/>
      <c r="V65" s="112"/>
      <c r="W65" s="112"/>
      <c r="X65" s="112"/>
      <c r="Y65" s="112"/>
      <c r="Z65" s="112"/>
      <c r="AA65" s="112"/>
      <c r="AB65" s="63"/>
      <c r="AC65" s="976">
        <f t="shared" si="6"/>
        <v>0</v>
      </c>
      <c r="AD65" s="288"/>
      <c r="AE65" s="288"/>
      <c r="AF65" s="288"/>
      <c r="AG65" s="124">
        <v>52000000</v>
      </c>
      <c r="AH65" s="63" t="s">
        <v>225</v>
      </c>
      <c r="AJ65" s="918"/>
      <c r="AK65" s="918"/>
      <c r="AL65" s="918">
        <f t="shared" si="1"/>
        <v>0</v>
      </c>
      <c r="AM65" s="918">
        <f t="shared" si="2"/>
        <v>0</v>
      </c>
      <c r="AN65" s="918">
        <f t="shared" si="3"/>
        <v>0</v>
      </c>
    </row>
    <row r="66" spans="1:40" ht="30.75" customHeight="1" x14ac:dyDescent="0.2">
      <c r="A66" s="889" t="s">
        <v>130</v>
      </c>
      <c r="B66" s="289" t="s">
        <v>587</v>
      </c>
      <c r="C66" s="613" t="s">
        <v>960</v>
      </c>
      <c r="D66" s="919"/>
      <c r="E66" s="891">
        <f t="shared" si="17"/>
        <v>38000000</v>
      </c>
      <c r="F66" s="891">
        <f t="shared" si="17"/>
        <v>36074080</v>
      </c>
      <c r="G66" s="891">
        <f t="shared" si="16"/>
        <v>0</v>
      </c>
      <c r="H66" s="112"/>
      <c r="I66" s="112"/>
      <c r="J66" s="112"/>
      <c r="K66" s="112">
        <v>38000000</v>
      </c>
      <c r="L66" s="112">
        <v>36074080</v>
      </c>
      <c r="M66" s="112"/>
      <c r="N66" s="112"/>
      <c r="O66" s="112"/>
      <c r="P66" s="63"/>
      <c r="Q66" s="892"/>
      <c r="R66" s="112"/>
      <c r="S66" s="112"/>
      <c r="T66" s="112"/>
      <c r="U66" s="112"/>
      <c r="V66" s="112"/>
      <c r="W66" s="112"/>
      <c r="X66" s="112"/>
      <c r="Y66" s="112"/>
      <c r="Z66" s="112"/>
      <c r="AA66" s="112"/>
      <c r="AB66" s="63"/>
      <c r="AC66" s="976">
        <f t="shared" si="6"/>
        <v>36074080</v>
      </c>
      <c r="AD66" s="288"/>
      <c r="AE66" s="288"/>
      <c r="AF66" s="288"/>
      <c r="AG66" s="124"/>
      <c r="AH66" s="63" t="s">
        <v>225</v>
      </c>
      <c r="AJ66" s="918"/>
      <c r="AK66" s="918"/>
      <c r="AL66" s="918">
        <f t="shared" si="1"/>
        <v>0</v>
      </c>
      <c r="AM66" s="918">
        <f t="shared" si="2"/>
        <v>0</v>
      </c>
      <c r="AN66" s="918">
        <f t="shared" si="3"/>
        <v>0</v>
      </c>
    </row>
    <row r="67" spans="1:40" ht="48" customHeight="1" x14ac:dyDescent="0.2">
      <c r="A67" s="889" t="s">
        <v>130</v>
      </c>
      <c r="B67" s="289" t="s">
        <v>587</v>
      </c>
      <c r="C67" s="613" t="s">
        <v>2188</v>
      </c>
      <c r="D67" s="930"/>
      <c r="E67" s="891">
        <f t="shared" ref="E67:G68" si="18">+H67+K67+N67+Q67+T67+W67+Z67</f>
        <v>0</v>
      </c>
      <c r="F67" s="891">
        <f t="shared" si="18"/>
        <v>3996878</v>
      </c>
      <c r="G67" s="891">
        <f t="shared" si="18"/>
        <v>0</v>
      </c>
      <c r="H67" s="113"/>
      <c r="I67" s="113"/>
      <c r="J67" s="113"/>
      <c r="K67" s="113"/>
      <c r="L67" s="113">
        <v>3996878</v>
      </c>
      <c r="M67" s="113"/>
      <c r="N67" s="113"/>
      <c r="O67" s="113"/>
      <c r="P67" s="922"/>
      <c r="Q67" s="923"/>
      <c r="R67" s="113"/>
      <c r="S67" s="113"/>
      <c r="T67" s="113"/>
      <c r="U67" s="113"/>
      <c r="V67" s="113"/>
      <c r="W67" s="113"/>
      <c r="X67" s="113"/>
      <c r="Y67" s="113"/>
      <c r="Z67" s="113"/>
      <c r="AA67" s="113"/>
      <c r="AB67" s="922"/>
      <c r="AC67" s="976">
        <f t="shared" si="6"/>
        <v>3996878</v>
      </c>
      <c r="AD67" s="932"/>
      <c r="AE67" s="932"/>
      <c r="AF67" s="932"/>
      <c r="AG67" s="944"/>
      <c r="AH67" s="922"/>
      <c r="AJ67" s="918"/>
      <c r="AK67" s="918"/>
      <c r="AL67" s="918"/>
      <c r="AM67" s="918"/>
      <c r="AN67" s="918"/>
    </row>
    <row r="68" spans="1:40" ht="46.5" customHeight="1" x14ac:dyDescent="0.2">
      <c r="A68" s="889" t="s">
        <v>130</v>
      </c>
      <c r="B68" s="289" t="s">
        <v>587</v>
      </c>
      <c r="C68" s="613" t="s">
        <v>2189</v>
      </c>
      <c r="D68" s="930"/>
      <c r="E68" s="891">
        <f t="shared" si="18"/>
        <v>0</v>
      </c>
      <c r="F68" s="891">
        <f t="shared" si="18"/>
        <v>6732042</v>
      </c>
      <c r="G68" s="891">
        <f t="shared" si="18"/>
        <v>0</v>
      </c>
      <c r="H68" s="113"/>
      <c r="I68" s="113"/>
      <c r="J68" s="113"/>
      <c r="K68" s="113"/>
      <c r="L68" s="113">
        <v>6732042</v>
      </c>
      <c r="M68" s="113"/>
      <c r="N68" s="113"/>
      <c r="O68" s="113"/>
      <c r="P68" s="922"/>
      <c r="Q68" s="923"/>
      <c r="R68" s="113"/>
      <c r="S68" s="113"/>
      <c r="T68" s="113"/>
      <c r="U68" s="113"/>
      <c r="V68" s="113"/>
      <c r="W68" s="113"/>
      <c r="X68" s="113"/>
      <c r="Y68" s="113"/>
      <c r="Z68" s="113"/>
      <c r="AA68" s="113"/>
      <c r="AB68" s="922"/>
      <c r="AC68" s="976">
        <f t="shared" si="6"/>
        <v>6732042</v>
      </c>
      <c r="AD68" s="932"/>
      <c r="AE68" s="932"/>
      <c r="AF68" s="932"/>
      <c r="AG68" s="944"/>
      <c r="AH68" s="922"/>
      <c r="AJ68" s="918"/>
      <c r="AK68" s="918"/>
      <c r="AL68" s="918"/>
      <c r="AM68" s="918"/>
      <c r="AN68" s="918"/>
    </row>
    <row r="69" spans="1:40" ht="44.25" customHeight="1" x14ac:dyDescent="0.2">
      <c r="A69" s="940" t="s">
        <v>130</v>
      </c>
      <c r="B69" s="323" t="s">
        <v>587</v>
      </c>
      <c r="C69" s="142" t="s">
        <v>1330</v>
      </c>
      <c r="D69" s="942"/>
      <c r="E69" s="899">
        <f t="shared" si="17"/>
        <v>0</v>
      </c>
      <c r="F69" s="899">
        <f t="shared" si="17"/>
        <v>9697000</v>
      </c>
      <c r="G69" s="899">
        <f t="shared" si="16"/>
        <v>0</v>
      </c>
      <c r="H69" s="143"/>
      <c r="I69" s="143"/>
      <c r="J69" s="143"/>
      <c r="K69" s="143"/>
      <c r="L69" s="143">
        <v>9697000</v>
      </c>
      <c r="M69" s="143"/>
      <c r="N69" s="143"/>
      <c r="O69" s="143"/>
      <c r="P69" s="162"/>
      <c r="Q69" s="900"/>
      <c r="R69" s="143"/>
      <c r="S69" s="143"/>
      <c r="T69" s="143"/>
      <c r="U69" s="143"/>
      <c r="V69" s="143"/>
      <c r="W69" s="143"/>
      <c r="X69" s="143"/>
      <c r="Y69" s="143"/>
      <c r="Z69" s="143"/>
      <c r="AA69" s="143"/>
      <c r="AB69" s="162"/>
      <c r="AC69" s="976">
        <f t="shared" si="6"/>
        <v>9697000</v>
      </c>
      <c r="AD69" s="285"/>
      <c r="AE69" s="285"/>
      <c r="AF69" s="285"/>
      <c r="AG69" s="141"/>
      <c r="AH69" s="162" t="s">
        <v>225</v>
      </c>
      <c r="AJ69" s="918"/>
      <c r="AK69" s="918"/>
      <c r="AL69" s="918">
        <f t="shared" si="1"/>
        <v>0</v>
      </c>
      <c r="AM69" s="918">
        <f t="shared" si="2"/>
        <v>0</v>
      </c>
      <c r="AN69" s="918">
        <f t="shared" si="3"/>
        <v>0</v>
      </c>
    </row>
    <row r="70" spans="1:40" ht="39" customHeight="1" x14ac:dyDescent="0.2">
      <c r="A70" s="893" t="s">
        <v>130</v>
      </c>
      <c r="B70" s="894" t="s">
        <v>587</v>
      </c>
      <c r="C70" s="608" t="s">
        <v>1354</v>
      </c>
      <c r="D70" s="934"/>
      <c r="E70" s="935">
        <f t="shared" si="17"/>
        <v>12000000</v>
      </c>
      <c r="F70" s="935">
        <f t="shared" si="17"/>
        <v>0</v>
      </c>
      <c r="G70" s="935">
        <f t="shared" si="16"/>
        <v>0</v>
      </c>
      <c r="H70" s="93"/>
      <c r="I70" s="93"/>
      <c r="J70" s="93"/>
      <c r="K70" s="93">
        <v>12000000</v>
      </c>
      <c r="L70" s="93">
        <f>12000000-12000000</f>
        <v>0</v>
      </c>
      <c r="M70" s="93"/>
      <c r="N70" s="93"/>
      <c r="O70" s="93"/>
      <c r="P70" s="936"/>
      <c r="Q70" s="937"/>
      <c r="R70" s="93"/>
      <c r="S70" s="93"/>
      <c r="T70" s="93"/>
      <c r="U70" s="93"/>
      <c r="V70" s="93"/>
      <c r="W70" s="93"/>
      <c r="X70" s="93"/>
      <c r="Y70" s="93"/>
      <c r="Z70" s="93"/>
      <c r="AA70" s="93"/>
      <c r="AB70" s="936"/>
      <c r="AC70" s="976">
        <f t="shared" si="6"/>
        <v>0</v>
      </c>
      <c r="AD70" s="939"/>
      <c r="AE70" s="939"/>
      <c r="AF70" s="939"/>
      <c r="AG70" s="945"/>
      <c r="AH70" s="936" t="s">
        <v>225</v>
      </c>
      <c r="AJ70" s="918"/>
      <c r="AK70" s="918"/>
      <c r="AL70" s="918">
        <f t="shared" si="1"/>
        <v>0</v>
      </c>
      <c r="AM70" s="918">
        <f t="shared" si="2"/>
        <v>0</v>
      </c>
      <c r="AN70" s="918">
        <f t="shared" si="3"/>
        <v>0</v>
      </c>
    </row>
    <row r="71" spans="1:40" ht="39" customHeight="1" x14ac:dyDescent="0.2">
      <c r="A71" s="889" t="s">
        <v>130</v>
      </c>
      <c r="B71" s="289" t="s">
        <v>587</v>
      </c>
      <c r="C71" s="613" t="s">
        <v>1353</v>
      </c>
      <c r="D71" s="919"/>
      <c r="E71" s="891">
        <f t="shared" si="17"/>
        <v>0</v>
      </c>
      <c r="F71" s="891">
        <f t="shared" si="17"/>
        <v>4064000</v>
      </c>
      <c r="G71" s="891">
        <f>+J71+M71+P71+S71+V71+Y71+AB71</f>
        <v>4064000</v>
      </c>
      <c r="H71" s="112"/>
      <c r="I71" s="112"/>
      <c r="J71" s="112"/>
      <c r="K71" s="112"/>
      <c r="L71" s="112">
        <v>4064000</v>
      </c>
      <c r="M71" s="112">
        <v>4064000</v>
      </c>
      <c r="N71" s="112"/>
      <c r="O71" s="112"/>
      <c r="P71" s="63"/>
      <c r="Q71" s="892"/>
      <c r="R71" s="112"/>
      <c r="S71" s="112"/>
      <c r="T71" s="112"/>
      <c r="U71" s="112"/>
      <c r="V71" s="112"/>
      <c r="W71" s="112"/>
      <c r="X71" s="112"/>
      <c r="Y71" s="112"/>
      <c r="Z71" s="112"/>
      <c r="AA71" s="112"/>
      <c r="AB71" s="63"/>
      <c r="AC71" s="976">
        <f t="shared" si="6"/>
        <v>4064000</v>
      </c>
      <c r="AD71" s="288"/>
      <c r="AE71" s="288"/>
      <c r="AF71" s="288"/>
      <c r="AG71" s="124"/>
      <c r="AH71" s="63" t="s">
        <v>225</v>
      </c>
      <c r="AJ71" s="918"/>
      <c r="AK71" s="918"/>
      <c r="AL71" s="918">
        <f t="shared" si="1"/>
        <v>3200000</v>
      </c>
      <c r="AM71" s="918">
        <f t="shared" si="2"/>
        <v>864000</v>
      </c>
      <c r="AN71" s="918">
        <f t="shared" si="3"/>
        <v>-864000</v>
      </c>
    </row>
    <row r="72" spans="1:40" ht="27" customHeight="1" x14ac:dyDescent="0.2">
      <c r="A72" s="920" t="s">
        <v>130</v>
      </c>
      <c r="B72" s="921" t="s">
        <v>587</v>
      </c>
      <c r="C72" s="607" t="s">
        <v>2094</v>
      </c>
      <c r="D72" s="930"/>
      <c r="E72" s="891">
        <f>+H72+K72+N72+Q72+T72+W72+Z72</f>
        <v>0</v>
      </c>
      <c r="F72" s="891">
        <f t="shared" ref="F72:G74" si="19">+I72+L72+O72+R72+U72+X72+AA72</f>
        <v>5000000</v>
      </c>
      <c r="G72" s="891">
        <f t="shared" si="19"/>
        <v>0</v>
      </c>
      <c r="H72" s="113"/>
      <c r="I72" s="113"/>
      <c r="J72" s="113"/>
      <c r="K72" s="113"/>
      <c r="L72" s="113">
        <v>3937008</v>
      </c>
      <c r="M72" s="113"/>
      <c r="N72" s="113"/>
      <c r="O72" s="113"/>
      <c r="P72" s="922"/>
      <c r="Q72" s="923"/>
      <c r="R72" s="113"/>
      <c r="S72" s="113"/>
      <c r="T72" s="113"/>
      <c r="U72" s="113"/>
      <c r="V72" s="113"/>
      <c r="W72" s="113"/>
      <c r="X72" s="113"/>
      <c r="Y72" s="113"/>
      <c r="Z72" s="112"/>
      <c r="AA72" s="112">
        <v>1062992</v>
      </c>
      <c r="AB72" s="63"/>
      <c r="AC72" s="976">
        <f t="shared" si="6"/>
        <v>5000000</v>
      </c>
      <c r="AD72" s="932"/>
      <c r="AE72" s="932"/>
      <c r="AF72" s="932"/>
      <c r="AG72" s="944"/>
      <c r="AH72" s="922" t="s">
        <v>225</v>
      </c>
      <c r="AJ72" s="918"/>
      <c r="AK72" s="918"/>
      <c r="AL72" s="918">
        <f t="shared" si="1"/>
        <v>0</v>
      </c>
      <c r="AM72" s="918">
        <f t="shared" si="2"/>
        <v>0</v>
      </c>
      <c r="AN72" s="918">
        <f t="shared" si="3"/>
        <v>0</v>
      </c>
    </row>
    <row r="73" spans="1:40" ht="27" customHeight="1" x14ac:dyDescent="0.2">
      <c r="A73" s="920" t="s">
        <v>130</v>
      </c>
      <c r="B73" s="921" t="s">
        <v>587</v>
      </c>
      <c r="C73" s="607" t="s">
        <v>2095</v>
      </c>
      <c r="D73" s="930"/>
      <c r="E73" s="891">
        <f>+H73+K73+N73+Q73+T73+W73+Z73</f>
        <v>0</v>
      </c>
      <c r="F73" s="891">
        <f>+I73+L73+O73+R73+U73+X73+AA73</f>
        <v>10750354</v>
      </c>
      <c r="G73" s="891">
        <f t="shared" si="19"/>
        <v>10750354</v>
      </c>
      <c r="H73" s="113"/>
      <c r="I73" s="113"/>
      <c r="J73" s="113"/>
      <c r="K73" s="113"/>
      <c r="L73" s="113">
        <v>8464846</v>
      </c>
      <c r="M73" s="113">
        <v>8464846</v>
      </c>
      <c r="N73" s="113"/>
      <c r="O73" s="113"/>
      <c r="P73" s="922"/>
      <c r="Q73" s="923"/>
      <c r="R73" s="113"/>
      <c r="S73" s="113"/>
      <c r="T73" s="113"/>
      <c r="U73" s="113"/>
      <c r="V73" s="113"/>
      <c r="W73" s="113"/>
      <c r="X73" s="113"/>
      <c r="Y73" s="113"/>
      <c r="Z73" s="112"/>
      <c r="AA73" s="112">
        <v>2285508</v>
      </c>
      <c r="AB73" s="63">
        <v>2285508</v>
      </c>
      <c r="AC73" s="976">
        <f t="shared" si="6"/>
        <v>10750354</v>
      </c>
      <c r="AD73" s="932"/>
      <c r="AE73" s="932"/>
      <c r="AF73" s="932"/>
      <c r="AG73" s="944"/>
      <c r="AH73" s="922" t="s">
        <v>225</v>
      </c>
      <c r="AJ73" s="918"/>
      <c r="AK73" s="918"/>
      <c r="AL73" s="918">
        <f t="shared" si="1"/>
        <v>8464845.669291338</v>
      </c>
      <c r="AM73" s="918">
        <f t="shared" si="2"/>
        <v>2285508.330708662</v>
      </c>
      <c r="AN73" s="918">
        <f t="shared" si="3"/>
        <v>-0.33070866204798222</v>
      </c>
    </row>
    <row r="74" spans="1:40" ht="24.75" customHeight="1" x14ac:dyDescent="0.2">
      <c r="A74" s="940" t="s">
        <v>932</v>
      </c>
      <c r="B74" s="323" t="s">
        <v>587</v>
      </c>
      <c r="C74" s="142" t="s">
        <v>1006</v>
      </c>
      <c r="D74" s="941"/>
      <c r="E74" s="899">
        <f t="shared" si="17"/>
        <v>15444500</v>
      </c>
      <c r="F74" s="899">
        <f t="shared" si="17"/>
        <v>18133000</v>
      </c>
      <c r="G74" s="891">
        <f t="shared" si="19"/>
        <v>9908450</v>
      </c>
      <c r="H74" s="143"/>
      <c r="I74" s="143"/>
      <c r="J74" s="143"/>
      <c r="K74" s="143">
        <f>(11811024)+350000</f>
        <v>12161024</v>
      </c>
      <c r="L74" s="143">
        <v>14701024</v>
      </c>
      <c r="M74" s="143">
        <v>8225000</v>
      </c>
      <c r="N74" s="143"/>
      <c r="O74" s="143"/>
      <c r="P74" s="162"/>
      <c r="Q74" s="900"/>
      <c r="R74" s="143"/>
      <c r="S74" s="143"/>
      <c r="T74" s="143"/>
      <c r="U74" s="143"/>
      <c r="V74" s="143"/>
      <c r="W74" s="113"/>
      <c r="X74" s="113"/>
      <c r="Y74" s="113"/>
      <c r="Z74" s="113">
        <f>(3188976)+94500</f>
        <v>3283476</v>
      </c>
      <c r="AA74" s="113">
        <v>3431976</v>
      </c>
      <c r="AB74" s="922">
        <v>1683450</v>
      </c>
      <c r="AC74" s="976">
        <f t="shared" si="6"/>
        <v>18133000</v>
      </c>
      <c r="AD74" s="285"/>
      <c r="AE74" s="285"/>
      <c r="AF74" s="285"/>
      <c r="AG74" s="141">
        <v>600000000</v>
      </c>
      <c r="AH74" s="162" t="s">
        <v>225</v>
      </c>
      <c r="AJ74" s="918"/>
      <c r="AK74" s="918"/>
      <c r="AL74" s="918">
        <f t="shared" si="1"/>
        <v>7801929.1338582672</v>
      </c>
      <c r="AM74" s="918">
        <f t="shared" si="2"/>
        <v>2106520.8661417328</v>
      </c>
      <c r="AN74" s="918">
        <f t="shared" si="3"/>
        <v>-423070.86614173278</v>
      </c>
    </row>
    <row r="75" spans="1:40" s="9" customFormat="1" ht="24.75" customHeight="1" x14ac:dyDescent="0.2">
      <c r="A75" s="917" t="s">
        <v>21</v>
      </c>
      <c r="B75" s="691"/>
      <c r="C75" s="691"/>
      <c r="D75" s="687"/>
      <c r="E75" s="276">
        <f t="shared" ref="E75:AG75" si="20">SUM(E76:E142)</f>
        <v>1293388855</v>
      </c>
      <c r="F75" s="276">
        <f>SUM(F76:F142)</f>
        <v>1255146091</v>
      </c>
      <c r="G75" s="276">
        <f>SUM(G76:G142)</f>
        <v>545307051</v>
      </c>
      <c r="H75" s="276">
        <f t="shared" si="20"/>
        <v>1110000</v>
      </c>
      <c r="I75" s="276">
        <f t="shared" si="20"/>
        <v>1110000</v>
      </c>
      <c r="J75" s="276">
        <f t="shared" si="20"/>
        <v>0</v>
      </c>
      <c r="K75" s="276">
        <f t="shared" si="20"/>
        <v>990874703</v>
      </c>
      <c r="L75" s="276">
        <f t="shared" si="20"/>
        <v>1101830964</v>
      </c>
      <c r="M75" s="276">
        <f>SUM(M76:M142)</f>
        <v>440602732</v>
      </c>
      <c r="N75" s="276">
        <f t="shared" si="20"/>
        <v>500000</v>
      </c>
      <c r="O75" s="276">
        <f t="shared" si="20"/>
        <v>589441</v>
      </c>
      <c r="P75" s="91">
        <f t="shared" si="20"/>
        <v>493370</v>
      </c>
      <c r="Q75" s="884">
        <f t="shared" si="20"/>
        <v>25931719</v>
      </c>
      <c r="R75" s="276">
        <f t="shared" si="20"/>
        <v>62867527</v>
      </c>
      <c r="S75" s="276">
        <f t="shared" si="20"/>
        <v>57052665</v>
      </c>
      <c r="T75" s="276">
        <f t="shared" si="20"/>
        <v>0</v>
      </c>
      <c r="U75" s="276">
        <f t="shared" si="20"/>
        <v>0</v>
      </c>
      <c r="V75" s="946">
        <f t="shared" si="20"/>
        <v>0</v>
      </c>
      <c r="W75" s="947">
        <f t="shared" si="20"/>
        <v>0</v>
      </c>
      <c r="X75" s="276">
        <f t="shared" si="20"/>
        <v>0</v>
      </c>
      <c r="Y75" s="276">
        <f t="shared" si="20"/>
        <v>0</v>
      </c>
      <c r="Z75" s="276">
        <f t="shared" si="20"/>
        <v>274972433</v>
      </c>
      <c r="AA75" s="276">
        <f t="shared" si="20"/>
        <v>88748159</v>
      </c>
      <c r="AB75" s="91">
        <f t="shared" si="20"/>
        <v>47158284</v>
      </c>
      <c r="AC75" s="884">
        <f>SUM(AC76:AC142)</f>
        <v>607947326</v>
      </c>
      <c r="AD75" s="276">
        <f t="shared" si="20"/>
        <v>0</v>
      </c>
      <c r="AE75" s="276">
        <f>SUM(AE76:AE142)</f>
        <v>647198765</v>
      </c>
      <c r="AF75" s="276">
        <f t="shared" si="20"/>
        <v>0</v>
      </c>
      <c r="AG75" s="276">
        <f t="shared" si="20"/>
        <v>30000000</v>
      </c>
      <c r="AH75" s="91"/>
      <c r="AI75" s="9" t="e">
        <f>+AC75+AD75+AF75+#REF!</f>
        <v>#REF!</v>
      </c>
      <c r="AJ75" s="918">
        <f>SUM(AC75:AG75)</f>
        <v>1285146091</v>
      </c>
      <c r="AK75" s="918">
        <f>+AJ75-E75</f>
        <v>-8242764</v>
      </c>
      <c r="AL75" s="918">
        <f t="shared" si="1"/>
        <v>429375630.70866144</v>
      </c>
      <c r="AM75" s="918">
        <f t="shared" si="2"/>
        <v>115931420.29133856</v>
      </c>
      <c r="AN75" s="918">
        <f t="shared" si="3"/>
        <v>-68773136.291338563</v>
      </c>
    </row>
    <row r="76" spans="1:40" s="9" customFormat="1" ht="32.25" customHeight="1" x14ac:dyDescent="0.2">
      <c r="A76" s="927" t="s">
        <v>128</v>
      </c>
      <c r="B76" s="352" t="s">
        <v>127</v>
      </c>
      <c r="C76" s="283" t="s">
        <v>1031</v>
      </c>
      <c r="D76" s="275"/>
      <c r="E76" s="887">
        <f t="shared" ref="E76:G77" si="21">+H76+K76+N76+Q76+T76+W76+Z76</f>
        <v>4820771</v>
      </c>
      <c r="F76" s="887">
        <f t="shared" si="21"/>
        <v>4820771</v>
      </c>
      <c r="G76" s="887">
        <f t="shared" si="21"/>
        <v>4820771</v>
      </c>
      <c r="H76" s="308"/>
      <c r="I76" s="308"/>
      <c r="J76" s="308"/>
      <c r="K76" s="308">
        <v>3795883</v>
      </c>
      <c r="L76" s="308">
        <v>3795883</v>
      </c>
      <c r="M76" s="308">
        <v>3795883</v>
      </c>
      <c r="N76" s="308"/>
      <c r="O76" s="308"/>
      <c r="P76" s="309"/>
      <c r="Q76" s="888"/>
      <c r="R76" s="308"/>
      <c r="S76" s="308"/>
      <c r="T76" s="308"/>
      <c r="U76" s="308"/>
      <c r="V76" s="308"/>
      <c r="W76" s="93"/>
      <c r="X76" s="93"/>
      <c r="Y76" s="93"/>
      <c r="Z76" s="93">
        <v>1024888</v>
      </c>
      <c r="AA76" s="93">
        <v>1024888</v>
      </c>
      <c r="AB76" s="936">
        <v>1024888</v>
      </c>
      <c r="AC76" s="976">
        <f t="shared" si="6"/>
        <v>4820771</v>
      </c>
      <c r="AD76" s="308"/>
      <c r="AE76" s="308"/>
      <c r="AF76" s="308"/>
      <c r="AG76" s="308"/>
      <c r="AH76" s="309" t="s">
        <v>225</v>
      </c>
      <c r="AJ76" s="918"/>
      <c r="AK76" s="918"/>
      <c r="AL76" s="918">
        <f t="shared" si="1"/>
        <v>3795882.6771653541</v>
      </c>
      <c r="AM76" s="918">
        <f t="shared" si="2"/>
        <v>1024888.3228346459</v>
      </c>
      <c r="AN76" s="918">
        <f t="shared" si="3"/>
        <v>-0.32283464586362243</v>
      </c>
    </row>
    <row r="77" spans="1:40" s="9" customFormat="1" ht="25.5" customHeight="1" x14ac:dyDescent="0.2">
      <c r="A77" s="948" t="s">
        <v>147</v>
      </c>
      <c r="B77" s="894" t="s">
        <v>127</v>
      </c>
      <c r="C77" s="608" t="s">
        <v>2096</v>
      </c>
      <c r="D77" s="949"/>
      <c r="E77" s="891">
        <f t="shared" si="21"/>
        <v>0</v>
      </c>
      <c r="F77" s="891">
        <f t="shared" si="21"/>
        <v>2351024</v>
      </c>
      <c r="G77" s="891">
        <f t="shared" si="21"/>
        <v>2351024</v>
      </c>
      <c r="H77" s="112"/>
      <c r="I77" s="93"/>
      <c r="J77" s="93"/>
      <c r="K77" s="93"/>
      <c r="L77" s="93">
        <v>1851200</v>
      </c>
      <c r="M77" s="93">
        <v>1851200</v>
      </c>
      <c r="N77" s="93"/>
      <c r="O77" s="93"/>
      <c r="P77" s="936"/>
      <c r="Q77" s="937"/>
      <c r="R77" s="93"/>
      <c r="S77" s="93"/>
      <c r="T77" s="93"/>
      <c r="U77" s="93"/>
      <c r="V77" s="93"/>
      <c r="W77" s="93"/>
      <c r="X77" s="93"/>
      <c r="Y77" s="93"/>
      <c r="Z77" s="112"/>
      <c r="AA77" s="112">
        <f>266220+233604</f>
        <v>499824</v>
      </c>
      <c r="AB77" s="63">
        <v>499824</v>
      </c>
      <c r="AC77" s="976">
        <f t="shared" si="6"/>
        <v>2351024</v>
      </c>
      <c r="AD77" s="93"/>
      <c r="AE77" s="93"/>
      <c r="AF77" s="93"/>
      <c r="AG77" s="93"/>
      <c r="AH77" s="936" t="s">
        <v>225</v>
      </c>
      <c r="AJ77" s="918"/>
      <c r="AK77" s="918"/>
      <c r="AL77" s="918">
        <f t="shared" si="1"/>
        <v>1851200</v>
      </c>
      <c r="AM77" s="918">
        <f t="shared" si="2"/>
        <v>499824</v>
      </c>
      <c r="AN77" s="918">
        <f t="shared" si="3"/>
        <v>0</v>
      </c>
    </row>
    <row r="78" spans="1:40" ht="24.75" customHeight="1" x14ac:dyDescent="0.2">
      <c r="A78" s="897" t="s">
        <v>131</v>
      </c>
      <c r="B78" s="289" t="s">
        <v>549</v>
      </c>
      <c r="C78" s="613" t="s">
        <v>550</v>
      </c>
      <c r="D78" s="145"/>
      <c r="E78" s="891">
        <f t="shared" ref="E78:E142" si="22">+H78+K78+N78+Q78+T78+W78+Z78</f>
        <v>2000000</v>
      </c>
      <c r="F78" s="891">
        <f t="shared" ref="F78:G142" si="23">+I78+L78+O78+R78+U78+X78+AA78</f>
        <v>2035810</v>
      </c>
      <c r="G78" s="891">
        <f t="shared" ref="G78:G93" si="24">+J78+M78+P78+S78+V78+Y78+AB78</f>
        <v>2035810</v>
      </c>
      <c r="H78" s="112"/>
      <c r="I78" s="112"/>
      <c r="J78" s="112"/>
      <c r="K78" s="112">
        <v>1574803</v>
      </c>
      <c r="L78" s="112">
        <v>1603000</v>
      </c>
      <c r="M78" s="112">
        <f>85000+65000+55000+1398000</f>
        <v>1603000</v>
      </c>
      <c r="N78" s="112"/>
      <c r="O78" s="112"/>
      <c r="P78" s="63"/>
      <c r="Q78" s="892"/>
      <c r="R78" s="112"/>
      <c r="S78" s="112"/>
      <c r="T78" s="112"/>
      <c r="U78" s="112"/>
      <c r="V78" s="112"/>
      <c r="W78" s="112"/>
      <c r="X78" s="112"/>
      <c r="Y78" s="112"/>
      <c r="Z78" s="112">
        <v>425197</v>
      </c>
      <c r="AA78" s="112">
        <v>432810</v>
      </c>
      <c r="AB78" s="63">
        <f>14850+377460+22950+17550</f>
        <v>432810</v>
      </c>
      <c r="AC78" s="976">
        <f t="shared" ref="AC78:AC141" si="25">+F78-AD78-AE78-AF78</f>
        <v>2035810</v>
      </c>
      <c r="AD78" s="288"/>
      <c r="AE78" s="288"/>
      <c r="AF78" s="288"/>
      <c r="AG78" s="288"/>
      <c r="AH78" s="63" t="s">
        <v>225</v>
      </c>
      <c r="AJ78" s="918">
        <f>SUM(AC78:AG78)</f>
        <v>2035810</v>
      </c>
      <c r="AK78" s="918">
        <f>+AJ78-E78</f>
        <v>35810</v>
      </c>
      <c r="AL78" s="918">
        <f t="shared" si="1"/>
        <v>1603000</v>
      </c>
      <c r="AM78" s="918">
        <f t="shared" si="2"/>
        <v>432810</v>
      </c>
      <c r="AN78" s="918">
        <f t="shared" si="3"/>
        <v>0</v>
      </c>
    </row>
    <row r="79" spans="1:40" ht="30.75" customHeight="1" x14ac:dyDescent="0.2">
      <c r="A79" s="897" t="s">
        <v>131</v>
      </c>
      <c r="B79" s="289" t="s">
        <v>549</v>
      </c>
      <c r="C79" s="613" t="s">
        <v>1338</v>
      </c>
      <c r="D79" s="145"/>
      <c r="E79" s="891">
        <f t="shared" si="22"/>
        <v>11073150</v>
      </c>
      <c r="F79" s="891">
        <f t="shared" si="23"/>
        <v>8357870</v>
      </c>
      <c r="G79" s="891">
        <f t="shared" si="24"/>
        <v>8357870</v>
      </c>
      <c r="H79" s="112"/>
      <c r="I79" s="112"/>
      <c r="J79" s="112"/>
      <c r="K79" s="112">
        <f>+(7874016)+845000</f>
        <v>8719016</v>
      </c>
      <c r="L79" s="112">
        <v>6581000</v>
      </c>
      <c r="M79" s="112">
        <f>845000+5736000</f>
        <v>6581000</v>
      </c>
      <c r="N79" s="112"/>
      <c r="O79" s="112"/>
      <c r="P79" s="63"/>
      <c r="Q79" s="892"/>
      <c r="R79" s="112"/>
      <c r="S79" s="112"/>
      <c r="T79" s="112"/>
      <c r="U79" s="112"/>
      <c r="V79" s="112"/>
      <c r="W79" s="112"/>
      <c r="X79" s="112"/>
      <c r="Y79" s="112"/>
      <c r="Z79" s="112">
        <f>+(2125984)+228150</f>
        <v>2354134</v>
      </c>
      <c r="AA79" s="112">
        <v>1776870</v>
      </c>
      <c r="AB79" s="63">
        <f>1548720+228150</f>
        <v>1776870</v>
      </c>
      <c r="AC79" s="976">
        <f t="shared" si="25"/>
        <v>8357870</v>
      </c>
      <c r="AD79" s="288"/>
      <c r="AE79" s="288"/>
      <c r="AF79" s="288"/>
      <c r="AG79" s="288"/>
      <c r="AH79" s="63" t="s">
        <v>225</v>
      </c>
      <c r="AJ79" s="918"/>
      <c r="AK79" s="918"/>
      <c r="AL79" s="918">
        <f t="shared" ref="AL79:AL147" si="26">+G79/1.27</f>
        <v>6581000</v>
      </c>
      <c r="AM79" s="918">
        <f t="shared" ref="AM79:AM147" si="27">+G79-AL79</f>
        <v>1776870</v>
      </c>
      <c r="AN79" s="918">
        <f t="shared" ref="AN79:AN147" si="28">+AB79-AM79</f>
        <v>0</v>
      </c>
    </row>
    <row r="80" spans="1:40" ht="30.75" customHeight="1" x14ac:dyDescent="0.2">
      <c r="A80" s="897" t="s">
        <v>131</v>
      </c>
      <c r="B80" s="289" t="s">
        <v>549</v>
      </c>
      <c r="C80" s="613" t="s">
        <v>1418</v>
      </c>
      <c r="D80" s="145"/>
      <c r="E80" s="891">
        <f t="shared" si="22"/>
        <v>0</v>
      </c>
      <c r="F80" s="891">
        <f t="shared" si="23"/>
        <v>31550347</v>
      </c>
      <c r="G80" s="891">
        <f t="shared" si="24"/>
        <v>31550347</v>
      </c>
      <c r="H80" s="112"/>
      <c r="I80" s="112"/>
      <c r="J80" s="112"/>
      <c r="K80" s="112"/>
      <c r="L80" s="112">
        <v>24842793</v>
      </c>
      <c r="M80" s="112">
        <f>11845542+12997251</f>
        <v>24842793</v>
      </c>
      <c r="N80" s="112"/>
      <c r="O80" s="112"/>
      <c r="P80" s="63"/>
      <c r="Q80" s="892"/>
      <c r="R80" s="112"/>
      <c r="S80" s="112"/>
      <c r="T80" s="112"/>
      <c r="U80" s="112"/>
      <c r="V80" s="112"/>
      <c r="W80" s="112"/>
      <c r="X80" s="112"/>
      <c r="Y80" s="112"/>
      <c r="Z80" s="112"/>
      <c r="AA80" s="112">
        <f>2125984+1383274+3198296</f>
        <v>6707554</v>
      </c>
      <c r="AB80" s="63">
        <f>3198296+3509258</f>
        <v>6707554</v>
      </c>
      <c r="AC80" s="976">
        <f t="shared" si="25"/>
        <v>31550347</v>
      </c>
      <c r="AD80" s="288"/>
      <c r="AE80" s="288"/>
      <c r="AF80" s="288"/>
      <c r="AG80" s="288"/>
      <c r="AH80" s="63" t="s">
        <v>225</v>
      </c>
      <c r="AJ80" s="918"/>
      <c r="AK80" s="918"/>
      <c r="AL80" s="918">
        <f t="shared" si="26"/>
        <v>24842792.913385827</v>
      </c>
      <c r="AM80" s="918">
        <f t="shared" si="27"/>
        <v>6707554.0866141729</v>
      </c>
      <c r="AN80" s="918">
        <f t="shared" si="28"/>
        <v>-8.6614172905683517E-2</v>
      </c>
    </row>
    <row r="81" spans="1:40" ht="30.75" customHeight="1" x14ac:dyDescent="0.2">
      <c r="A81" s="897" t="s">
        <v>935</v>
      </c>
      <c r="B81" s="289" t="s">
        <v>523</v>
      </c>
      <c r="C81" s="613" t="s">
        <v>2187</v>
      </c>
      <c r="D81" s="145"/>
      <c r="E81" s="891">
        <f>+H81+K81+N81+Q81+T81+W81+Z81</f>
        <v>0</v>
      </c>
      <c r="F81" s="891">
        <f>+I81+L81+O81+R81+U81+X81+AA81</f>
        <v>9079528</v>
      </c>
      <c r="G81" s="891">
        <f t="shared" si="24"/>
        <v>0</v>
      </c>
      <c r="H81" s="112"/>
      <c r="I81" s="112"/>
      <c r="J81" s="112"/>
      <c r="K81" s="112"/>
      <c r="L81" s="112">
        <v>7149234</v>
      </c>
      <c r="M81" s="112"/>
      <c r="N81" s="112"/>
      <c r="O81" s="112"/>
      <c r="P81" s="63"/>
      <c r="Q81" s="892"/>
      <c r="R81" s="112"/>
      <c r="S81" s="112"/>
      <c r="T81" s="112"/>
      <c r="U81" s="112"/>
      <c r="V81" s="112"/>
      <c r="W81" s="112"/>
      <c r="X81" s="112"/>
      <c r="Y81" s="112"/>
      <c r="Z81" s="112"/>
      <c r="AA81" s="112">
        <v>1930294</v>
      </c>
      <c r="AB81" s="63"/>
      <c r="AC81" s="976">
        <f t="shared" si="25"/>
        <v>9079528</v>
      </c>
      <c r="AD81" s="288"/>
      <c r="AE81" s="288"/>
      <c r="AF81" s="288"/>
      <c r="AG81" s="288"/>
      <c r="AH81" s="63" t="s">
        <v>225</v>
      </c>
      <c r="AJ81" s="918"/>
      <c r="AK81" s="918"/>
      <c r="AL81" s="918"/>
      <c r="AM81" s="918"/>
      <c r="AN81" s="918"/>
    </row>
    <row r="82" spans="1:40" ht="24.75" customHeight="1" x14ac:dyDescent="0.2">
      <c r="A82" s="889" t="s">
        <v>422</v>
      </c>
      <c r="B82" s="289" t="s">
        <v>73</v>
      </c>
      <c r="C82" s="613" t="s">
        <v>551</v>
      </c>
      <c r="D82" s="145"/>
      <c r="E82" s="891">
        <f t="shared" si="22"/>
        <v>889000</v>
      </c>
      <c r="F82" s="891">
        <f t="shared" si="23"/>
        <v>889000</v>
      </c>
      <c r="G82" s="891">
        <f t="shared" si="24"/>
        <v>385990</v>
      </c>
      <c r="H82" s="112"/>
      <c r="I82" s="112"/>
      <c r="J82" s="112"/>
      <c r="K82" s="112"/>
      <c r="L82" s="112"/>
      <c r="M82" s="112"/>
      <c r="N82" s="112">
        <v>400000</v>
      </c>
      <c r="O82" s="112">
        <v>400000</v>
      </c>
      <c r="P82" s="63">
        <v>303929</v>
      </c>
      <c r="Q82" s="892">
        <v>300000</v>
      </c>
      <c r="R82" s="112">
        <v>300000</v>
      </c>
      <c r="S82" s="112"/>
      <c r="T82" s="112"/>
      <c r="U82" s="112"/>
      <c r="V82" s="112"/>
      <c r="W82" s="112"/>
      <c r="X82" s="112"/>
      <c r="Y82" s="112"/>
      <c r="Z82" s="112">
        <v>189000</v>
      </c>
      <c r="AA82" s="112">
        <v>189000</v>
      </c>
      <c r="AB82" s="63">
        <v>82061</v>
      </c>
      <c r="AC82" s="976">
        <f t="shared" si="25"/>
        <v>889000</v>
      </c>
      <c r="AD82" s="288"/>
      <c r="AE82" s="288"/>
      <c r="AF82" s="288"/>
      <c r="AG82" s="288"/>
      <c r="AH82" s="63" t="s">
        <v>225</v>
      </c>
      <c r="AJ82" s="918"/>
      <c r="AK82" s="918"/>
      <c r="AL82" s="918">
        <f t="shared" si="26"/>
        <v>303929.13385826768</v>
      </c>
      <c r="AM82" s="918">
        <f t="shared" si="27"/>
        <v>82060.866141732316</v>
      </c>
      <c r="AN82" s="918">
        <f t="shared" si="28"/>
        <v>0.13385826768353581</v>
      </c>
    </row>
    <row r="83" spans="1:40" ht="24.75" customHeight="1" x14ac:dyDescent="0.2">
      <c r="A83" s="889" t="s">
        <v>505</v>
      </c>
      <c r="B83" s="289" t="s">
        <v>73</v>
      </c>
      <c r="C83" s="613" t="s">
        <v>795</v>
      </c>
      <c r="D83" s="831"/>
      <c r="E83" s="891">
        <f t="shared" si="22"/>
        <v>127000</v>
      </c>
      <c r="F83" s="891">
        <f t="shared" si="23"/>
        <v>127000</v>
      </c>
      <c r="G83" s="891">
        <f t="shared" si="24"/>
        <v>0</v>
      </c>
      <c r="H83" s="112"/>
      <c r="I83" s="112"/>
      <c r="J83" s="112"/>
      <c r="K83" s="112"/>
      <c r="L83" s="112"/>
      <c r="M83" s="112"/>
      <c r="N83" s="112"/>
      <c r="O83" s="112"/>
      <c r="P83" s="63"/>
      <c r="Q83" s="892">
        <v>100000</v>
      </c>
      <c r="R83" s="112">
        <v>100000</v>
      </c>
      <c r="S83" s="112"/>
      <c r="T83" s="112"/>
      <c r="U83" s="112"/>
      <c r="V83" s="112"/>
      <c r="W83" s="112"/>
      <c r="X83" s="112"/>
      <c r="Y83" s="112"/>
      <c r="Z83" s="112">
        <v>27000</v>
      </c>
      <c r="AA83" s="112">
        <v>27000</v>
      </c>
      <c r="AB83" s="63"/>
      <c r="AC83" s="976">
        <f t="shared" si="25"/>
        <v>127000</v>
      </c>
      <c r="AD83" s="288"/>
      <c r="AE83" s="288"/>
      <c r="AF83" s="288"/>
      <c r="AG83" s="288"/>
      <c r="AH83" s="63" t="s">
        <v>225</v>
      </c>
      <c r="AJ83" s="918"/>
      <c r="AK83" s="918"/>
      <c r="AL83" s="918">
        <f t="shared" si="26"/>
        <v>0</v>
      </c>
      <c r="AM83" s="918">
        <f t="shared" si="27"/>
        <v>0</v>
      </c>
      <c r="AN83" s="918">
        <f t="shared" si="28"/>
        <v>0</v>
      </c>
    </row>
    <row r="84" spans="1:40" ht="24.75" customHeight="1" x14ac:dyDescent="0.2">
      <c r="A84" s="889" t="s">
        <v>1215</v>
      </c>
      <c r="B84" s="289" t="s">
        <v>1216</v>
      </c>
      <c r="C84" s="613" t="s">
        <v>1217</v>
      </c>
      <c r="D84" s="831"/>
      <c r="E84" s="891">
        <f t="shared" si="22"/>
        <v>0</v>
      </c>
      <c r="F84" s="891">
        <f t="shared" si="23"/>
        <v>718185</v>
      </c>
      <c r="G84" s="891">
        <f t="shared" si="24"/>
        <v>718185</v>
      </c>
      <c r="H84" s="112"/>
      <c r="I84" s="112"/>
      <c r="J84" s="112"/>
      <c r="K84" s="112"/>
      <c r="L84" s="112">
        <v>565500</v>
      </c>
      <c r="M84" s="112">
        <v>565500</v>
      </c>
      <c r="N84" s="112"/>
      <c r="O84" s="112"/>
      <c r="P84" s="63"/>
      <c r="Q84" s="892"/>
      <c r="R84" s="112"/>
      <c r="S84" s="112"/>
      <c r="T84" s="112"/>
      <c r="U84" s="112"/>
      <c r="V84" s="112"/>
      <c r="W84" s="112"/>
      <c r="X84" s="112"/>
      <c r="Y84" s="112"/>
      <c r="Z84" s="112"/>
      <c r="AA84" s="112">
        <v>152685</v>
      </c>
      <c r="AB84" s="63">
        <v>152685</v>
      </c>
      <c r="AC84" s="976">
        <f t="shared" si="25"/>
        <v>718185</v>
      </c>
      <c r="AD84" s="288"/>
      <c r="AE84" s="288"/>
      <c r="AF84" s="288"/>
      <c r="AG84" s="288"/>
      <c r="AH84" s="63" t="s">
        <v>225</v>
      </c>
      <c r="AJ84" s="918"/>
      <c r="AK84" s="918"/>
      <c r="AL84" s="918">
        <f t="shared" si="26"/>
        <v>565500</v>
      </c>
      <c r="AM84" s="918">
        <f t="shared" si="27"/>
        <v>152685</v>
      </c>
      <c r="AN84" s="918">
        <f t="shared" si="28"/>
        <v>0</v>
      </c>
    </row>
    <row r="85" spans="1:40" ht="24.75" customHeight="1" x14ac:dyDescent="0.2">
      <c r="A85" s="889" t="s">
        <v>1215</v>
      </c>
      <c r="B85" s="289" t="s">
        <v>1216</v>
      </c>
      <c r="C85" s="613" t="s">
        <v>1350</v>
      </c>
      <c r="D85" s="831"/>
      <c r="E85" s="891">
        <f t="shared" si="22"/>
        <v>0</v>
      </c>
      <c r="F85" s="891">
        <f t="shared" si="23"/>
        <v>864870</v>
      </c>
      <c r="G85" s="891">
        <f t="shared" si="24"/>
        <v>864870</v>
      </c>
      <c r="H85" s="112"/>
      <c r="I85" s="112"/>
      <c r="J85" s="112"/>
      <c r="K85" s="112"/>
      <c r="L85" s="112"/>
      <c r="M85" s="112"/>
      <c r="N85" s="112"/>
      <c r="O85" s="112"/>
      <c r="P85" s="63"/>
      <c r="Q85" s="892"/>
      <c r="R85" s="112">
        <v>681000</v>
      </c>
      <c r="S85" s="112">
        <v>681000</v>
      </c>
      <c r="T85" s="112"/>
      <c r="U85" s="112"/>
      <c r="V85" s="112"/>
      <c r="W85" s="112"/>
      <c r="X85" s="112"/>
      <c r="Y85" s="112"/>
      <c r="Z85" s="112"/>
      <c r="AA85" s="112">
        <v>183870</v>
      </c>
      <c r="AB85" s="63">
        <v>183870</v>
      </c>
      <c r="AC85" s="976">
        <f t="shared" si="25"/>
        <v>864870</v>
      </c>
      <c r="AD85" s="288"/>
      <c r="AE85" s="288"/>
      <c r="AF85" s="288"/>
      <c r="AG85" s="288"/>
      <c r="AH85" s="63" t="s">
        <v>225</v>
      </c>
      <c r="AJ85" s="918"/>
      <c r="AK85" s="918"/>
      <c r="AL85" s="918">
        <f t="shared" si="26"/>
        <v>681000</v>
      </c>
      <c r="AM85" s="918">
        <f t="shared" si="27"/>
        <v>183870</v>
      </c>
      <c r="AN85" s="918">
        <f t="shared" si="28"/>
        <v>0</v>
      </c>
    </row>
    <row r="86" spans="1:40" ht="24.75" customHeight="1" x14ac:dyDescent="0.2">
      <c r="A86" s="889" t="s">
        <v>1215</v>
      </c>
      <c r="B86" s="289" t="s">
        <v>1216</v>
      </c>
      <c r="C86" s="613" t="s">
        <v>2182</v>
      </c>
      <c r="D86" s="831"/>
      <c r="E86" s="891">
        <f>+H86+K86+N86+Q86+T86+W86+Z86</f>
        <v>0</v>
      </c>
      <c r="F86" s="891">
        <f>+I86+L86+O86+R86+U86+X86+AA86</f>
        <v>34549</v>
      </c>
      <c r="G86" s="891">
        <f t="shared" si="24"/>
        <v>34549</v>
      </c>
      <c r="H86" s="112"/>
      <c r="I86" s="112"/>
      <c r="J86" s="112"/>
      <c r="K86" s="112"/>
      <c r="L86" s="112"/>
      <c r="M86" s="112"/>
      <c r="N86" s="112"/>
      <c r="O86" s="112"/>
      <c r="P86" s="63"/>
      <c r="Q86" s="892"/>
      <c r="R86" s="112">
        <v>27204</v>
      </c>
      <c r="S86" s="112">
        <v>27204</v>
      </c>
      <c r="T86" s="112"/>
      <c r="U86" s="112"/>
      <c r="V86" s="112"/>
      <c r="W86" s="112"/>
      <c r="X86" s="112"/>
      <c r="Y86" s="112"/>
      <c r="Z86" s="112"/>
      <c r="AA86" s="112">
        <v>7345</v>
      </c>
      <c r="AB86" s="63">
        <v>7345</v>
      </c>
      <c r="AC86" s="976">
        <f t="shared" si="25"/>
        <v>34549</v>
      </c>
      <c r="AD86" s="288"/>
      <c r="AE86" s="288"/>
      <c r="AF86" s="288"/>
      <c r="AG86" s="288"/>
      <c r="AH86" s="63"/>
      <c r="AJ86" s="918"/>
      <c r="AK86" s="918"/>
      <c r="AL86" s="918"/>
      <c r="AM86" s="918"/>
      <c r="AN86" s="918"/>
    </row>
    <row r="87" spans="1:40" ht="24.75" customHeight="1" x14ac:dyDescent="0.2">
      <c r="A87" s="897" t="s">
        <v>552</v>
      </c>
      <c r="B87" s="289" t="s">
        <v>554</v>
      </c>
      <c r="C87" s="613" t="s">
        <v>553</v>
      </c>
      <c r="D87" s="145"/>
      <c r="E87" s="891">
        <f t="shared" si="22"/>
        <v>3000000</v>
      </c>
      <c r="F87" s="891">
        <f t="shared" si="23"/>
        <v>1989933</v>
      </c>
      <c r="G87" s="891">
        <f t="shared" si="24"/>
        <v>1826260</v>
      </c>
      <c r="H87" s="112"/>
      <c r="I87" s="112"/>
      <c r="J87" s="112"/>
      <c r="K87" s="112"/>
      <c r="L87" s="112"/>
      <c r="M87" s="112"/>
      <c r="N87" s="112"/>
      <c r="O87" s="112"/>
      <c r="P87" s="63"/>
      <c r="Q87" s="892">
        <v>2362205</v>
      </c>
      <c r="R87" s="112">
        <v>1530048</v>
      </c>
      <c r="S87" s="112">
        <f>71000+426000+142000+373000+426000</f>
        <v>1438000</v>
      </c>
      <c r="T87" s="112"/>
      <c r="U87" s="112"/>
      <c r="V87" s="112"/>
      <c r="W87" s="112"/>
      <c r="X87" s="112"/>
      <c r="Y87" s="112"/>
      <c r="Z87" s="112">
        <v>637795</v>
      </c>
      <c r="AA87" s="112">
        <v>459885</v>
      </c>
      <c r="AB87" s="63">
        <f>100710+19170+115020+38340+115020</f>
        <v>388260</v>
      </c>
      <c r="AC87" s="976">
        <f t="shared" si="25"/>
        <v>1989933</v>
      </c>
      <c r="AD87" s="288"/>
      <c r="AE87" s="288"/>
      <c r="AF87" s="288"/>
      <c r="AG87" s="288"/>
      <c r="AH87" s="63" t="s">
        <v>225</v>
      </c>
      <c r="AJ87" s="918"/>
      <c r="AK87" s="918"/>
      <c r="AL87" s="918">
        <f t="shared" si="26"/>
        <v>1438000</v>
      </c>
      <c r="AM87" s="918">
        <f t="shared" si="27"/>
        <v>388260</v>
      </c>
      <c r="AN87" s="918">
        <f t="shared" si="28"/>
        <v>0</v>
      </c>
    </row>
    <row r="88" spans="1:40" ht="24.75" customHeight="1" x14ac:dyDescent="0.2">
      <c r="A88" s="897" t="s">
        <v>1222</v>
      </c>
      <c r="B88" s="289" t="s">
        <v>127</v>
      </c>
      <c r="C88" s="613" t="s">
        <v>2097</v>
      </c>
      <c r="D88" s="145"/>
      <c r="E88" s="891">
        <f>+H88+K88+N88+Q88+T88+W88+Z88</f>
        <v>0</v>
      </c>
      <c r="F88" s="891">
        <f>+I88+L88+O88+R88+U88+X88+AA88</f>
        <v>270000</v>
      </c>
      <c r="G88" s="891">
        <f t="shared" si="24"/>
        <v>270000</v>
      </c>
      <c r="H88" s="112"/>
      <c r="I88" s="112"/>
      <c r="J88" s="112"/>
      <c r="K88" s="112"/>
      <c r="L88" s="112"/>
      <c r="M88" s="112"/>
      <c r="N88" s="112"/>
      <c r="O88" s="112"/>
      <c r="P88" s="63"/>
      <c r="Q88" s="892"/>
      <c r="R88" s="112">
        <v>212598</v>
      </c>
      <c r="S88" s="112">
        <v>212598</v>
      </c>
      <c r="T88" s="112"/>
      <c r="U88" s="112"/>
      <c r="V88" s="112"/>
      <c r="W88" s="112"/>
      <c r="X88" s="112"/>
      <c r="Y88" s="112"/>
      <c r="Z88" s="112"/>
      <c r="AA88" s="112">
        <v>57402</v>
      </c>
      <c r="AB88" s="63">
        <v>57402</v>
      </c>
      <c r="AC88" s="976">
        <f t="shared" si="25"/>
        <v>270000</v>
      </c>
      <c r="AD88" s="288"/>
      <c r="AE88" s="288"/>
      <c r="AF88" s="288"/>
      <c r="AG88" s="288"/>
      <c r="AH88" s="63" t="s">
        <v>225</v>
      </c>
      <c r="AJ88" s="918"/>
      <c r="AK88" s="918"/>
      <c r="AL88" s="918">
        <f t="shared" si="26"/>
        <v>212598.42519685038</v>
      </c>
      <c r="AM88" s="918">
        <f t="shared" si="27"/>
        <v>57401.574803149619</v>
      </c>
      <c r="AN88" s="918">
        <f t="shared" si="28"/>
        <v>0.42519685038132593</v>
      </c>
    </row>
    <row r="89" spans="1:40" ht="24.75" customHeight="1" x14ac:dyDescent="0.2">
      <c r="A89" s="889" t="s">
        <v>738</v>
      </c>
      <c r="B89" s="289" t="s">
        <v>739</v>
      </c>
      <c r="C89" s="613" t="s">
        <v>757</v>
      </c>
      <c r="D89" s="919"/>
      <c r="E89" s="891">
        <f t="shared" si="22"/>
        <v>5000000</v>
      </c>
      <c r="F89" s="891">
        <f t="shared" si="23"/>
        <v>0</v>
      </c>
      <c r="G89" s="891">
        <f t="shared" si="24"/>
        <v>0</v>
      </c>
      <c r="H89" s="112"/>
      <c r="I89" s="112"/>
      <c r="J89" s="112"/>
      <c r="K89" s="112">
        <v>3937008</v>
      </c>
      <c r="L89" s="112">
        <f>3937008-1306800-2630208</f>
        <v>0</v>
      </c>
      <c r="M89" s="112"/>
      <c r="N89" s="112"/>
      <c r="O89" s="112"/>
      <c r="P89" s="63"/>
      <c r="Q89" s="892"/>
      <c r="R89" s="112"/>
      <c r="S89" s="112"/>
      <c r="T89" s="112"/>
      <c r="U89" s="112"/>
      <c r="V89" s="112"/>
      <c r="W89" s="112"/>
      <c r="X89" s="112"/>
      <c r="Y89" s="112"/>
      <c r="Z89" s="112">
        <v>1062992</v>
      </c>
      <c r="AA89" s="112">
        <f>1062992-352836-710156</f>
        <v>0</v>
      </c>
      <c r="AB89" s="63"/>
      <c r="AC89" s="976">
        <f t="shared" si="25"/>
        <v>0</v>
      </c>
      <c r="AD89" s="288"/>
      <c r="AE89" s="288"/>
      <c r="AF89" s="288"/>
      <c r="AG89" s="288">
        <v>5000000</v>
      </c>
      <c r="AH89" s="65" t="s">
        <v>225</v>
      </c>
      <c r="AJ89" s="918"/>
      <c r="AK89" s="918"/>
      <c r="AL89" s="918">
        <f t="shared" si="26"/>
        <v>0</v>
      </c>
      <c r="AM89" s="918">
        <f t="shared" si="27"/>
        <v>0</v>
      </c>
      <c r="AN89" s="918">
        <f t="shared" si="28"/>
        <v>0</v>
      </c>
    </row>
    <row r="90" spans="1:40" ht="24.75" customHeight="1" x14ac:dyDescent="0.2">
      <c r="A90" s="889" t="s">
        <v>738</v>
      </c>
      <c r="B90" s="289" t="s">
        <v>739</v>
      </c>
      <c r="C90" s="613" t="s">
        <v>1463</v>
      </c>
      <c r="D90" s="919"/>
      <c r="E90" s="891">
        <f t="shared" si="22"/>
        <v>0</v>
      </c>
      <c r="F90" s="891">
        <f t="shared" si="23"/>
        <v>3675380</v>
      </c>
      <c r="G90" s="891">
        <f t="shared" si="24"/>
        <v>3675380</v>
      </c>
      <c r="H90" s="112"/>
      <c r="I90" s="112"/>
      <c r="J90" s="112"/>
      <c r="K90" s="112"/>
      <c r="L90" s="112"/>
      <c r="M90" s="112"/>
      <c r="N90" s="112"/>
      <c r="O90" s="112"/>
      <c r="P90" s="63"/>
      <c r="Q90" s="892"/>
      <c r="R90" s="112">
        <f>2630208+263792</f>
        <v>2894000</v>
      </c>
      <c r="S90" s="112">
        <v>2894000</v>
      </c>
      <c r="T90" s="112"/>
      <c r="U90" s="112"/>
      <c r="V90" s="112"/>
      <c r="W90" s="112"/>
      <c r="X90" s="112"/>
      <c r="Y90" s="112"/>
      <c r="Z90" s="112"/>
      <c r="AA90" s="112">
        <f>710156+71224</f>
        <v>781380</v>
      </c>
      <c r="AB90" s="63">
        <v>781380</v>
      </c>
      <c r="AC90" s="976">
        <f t="shared" si="25"/>
        <v>3675380</v>
      </c>
      <c r="AD90" s="288"/>
      <c r="AE90" s="288"/>
      <c r="AF90" s="288"/>
      <c r="AG90" s="288"/>
      <c r="AH90" s="65" t="s">
        <v>225</v>
      </c>
      <c r="AJ90" s="918"/>
      <c r="AK90" s="918"/>
      <c r="AL90" s="918">
        <f t="shared" si="26"/>
        <v>2894000</v>
      </c>
      <c r="AM90" s="918">
        <f t="shared" si="27"/>
        <v>781380</v>
      </c>
      <c r="AN90" s="918">
        <f t="shared" si="28"/>
        <v>0</v>
      </c>
    </row>
    <row r="91" spans="1:40" ht="24.75" customHeight="1" x14ac:dyDescent="0.2">
      <c r="A91" s="889" t="s">
        <v>738</v>
      </c>
      <c r="B91" s="289" t="s">
        <v>739</v>
      </c>
      <c r="C91" s="613" t="s">
        <v>1473</v>
      </c>
      <c r="D91" s="919"/>
      <c r="E91" s="891">
        <f t="shared" si="22"/>
        <v>0</v>
      </c>
      <c r="F91" s="891">
        <f t="shared" si="23"/>
        <v>944880</v>
      </c>
      <c r="G91" s="891">
        <f t="shared" si="24"/>
        <v>944880</v>
      </c>
      <c r="H91" s="112"/>
      <c r="I91" s="112"/>
      <c r="J91" s="112"/>
      <c r="K91" s="112"/>
      <c r="L91" s="112">
        <f>699265+44735</f>
        <v>744000</v>
      </c>
      <c r="M91" s="112">
        <f>372000+372000</f>
        <v>744000</v>
      </c>
      <c r="N91" s="112"/>
      <c r="O91" s="112"/>
      <c r="P91" s="63"/>
      <c r="Q91" s="892"/>
      <c r="R91" s="112"/>
      <c r="S91" s="112"/>
      <c r="T91" s="112"/>
      <c r="U91" s="112"/>
      <c r="V91" s="112"/>
      <c r="W91" s="112"/>
      <c r="X91" s="112"/>
      <c r="Y91" s="112"/>
      <c r="Z91" s="112"/>
      <c r="AA91" s="112">
        <f>188801+12079</f>
        <v>200880</v>
      </c>
      <c r="AB91" s="63">
        <f>100440+100440</f>
        <v>200880</v>
      </c>
      <c r="AC91" s="976">
        <f t="shared" si="25"/>
        <v>944880</v>
      </c>
      <c r="AD91" s="288"/>
      <c r="AE91" s="288"/>
      <c r="AF91" s="288"/>
      <c r="AG91" s="288"/>
      <c r="AH91" s="65" t="s">
        <v>225</v>
      </c>
      <c r="AJ91" s="918"/>
      <c r="AK91" s="918"/>
      <c r="AL91" s="918">
        <f t="shared" si="26"/>
        <v>744000</v>
      </c>
      <c r="AM91" s="918">
        <f t="shared" si="27"/>
        <v>200880</v>
      </c>
      <c r="AN91" s="918">
        <f t="shared" si="28"/>
        <v>0</v>
      </c>
    </row>
    <row r="92" spans="1:40" ht="24.75" customHeight="1" x14ac:dyDescent="0.2">
      <c r="A92" s="889" t="s">
        <v>738</v>
      </c>
      <c r="B92" s="289" t="s">
        <v>739</v>
      </c>
      <c r="C92" s="613" t="s">
        <v>917</v>
      </c>
      <c r="D92" s="919"/>
      <c r="E92" s="891">
        <f t="shared" si="22"/>
        <v>5000000</v>
      </c>
      <c r="F92" s="891">
        <f>+I92+L92+O92+R92+U92+X92+AA92</f>
        <v>5306886</v>
      </c>
      <c r="G92" s="891">
        <f t="shared" si="24"/>
        <v>5306886</v>
      </c>
      <c r="H92" s="112"/>
      <c r="I92" s="112"/>
      <c r="J92" s="112"/>
      <c r="K92" s="112">
        <v>3937008</v>
      </c>
      <c r="L92" s="112"/>
      <c r="M92" s="112"/>
      <c r="N92" s="112"/>
      <c r="O92" s="112"/>
      <c r="P92" s="63"/>
      <c r="Q92" s="892"/>
      <c r="R92" s="112">
        <v>4178650</v>
      </c>
      <c r="S92" s="112">
        <f>3018000+1160650</f>
        <v>4178650</v>
      </c>
      <c r="T92" s="112"/>
      <c r="U92" s="112"/>
      <c r="V92" s="112"/>
      <c r="W92" s="112"/>
      <c r="X92" s="112"/>
      <c r="Y92" s="112"/>
      <c r="Z92" s="112">
        <v>1062992</v>
      </c>
      <c r="AA92" s="112">
        <v>1128236</v>
      </c>
      <c r="AB92" s="63">
        <f>814860+313376</f>
        <v>1128236</v>
      </c>
      <c r="AC92" s="976">
        <f t="shared" si="25"/>
        <v>5306886</v>
      </c>
      <c r="AD92" s="288"/>
      <c r="AE92" s="288"/>
      <c r="AF92" s="288"/>
      <c r="AG92" s="288">
        <v>5000000</v>
      </c>
      <c r="AH92" s="65" t="s">
        <v>225</v>
      </c>
      <c r="AJ92" s="918"/>
      <c r="AK92" s="918"/>
      <c r="AL92" s="918">
        <f t="shared" si="26"/>
        <v>4178650.3937007873</v>
      </c>
      <c r="AM92" s="918">
        <f t="shared" si="27"/>
        <v>1128235.6062992127</v>
      </c>
      <c r="AN92" s="918">
        <f t="shared" si="28"/>
        <v>0.39370078733190894</v>
      </c>
    </row>
    <row r="93" spans="1:40" ht="24.75" customHeight="1" x14ac:dyDescent="0.2">
      <c r="A93" s="889" t="s">
        <v>738</v>
      </c>
      <c r="B93" s="289" t="s">
        <v>739</v>
      </c>
      <c r="C93" s="613" t="s">
        <v>946</v>
      </c>
      <c r="D93" s="919"/>
      <c r="E93" s="891">
        <f t="shared" si="22"/>
        <v>5000000</v>
      </c>
      <c r="F93" s="891">
        <f t="shared" si="23"/>
        <v>5016500</v>
      </c>
      <c r="G93" s="891">
        <f t="shared" si="24"/>
        <v>5016500</v>
      </c>
      <c r="H93" s="112"/>
      <c r="I93" s="112"/>
      <c r="J93" s="112"/>
      <c r="K93" s="112">
        <v>3937008</v>
      </c>
      <c r="L93" s="112">
        <f>3937008+12992</f>
        <v>3950000</v>
      </c>
      <c r="M93" s="112">
        <v>3950000</v>
      </c>
      <c r="N93" s="112"/>
      <c r="O93" s="112"/>
      <c r="P93" s="63"/>
      <c r="Q93" s="892"/>
      <c r="R93" s="112"/>
      <c r="S93" s="112"/>
      <c r="T93" s="112"/>
      <c r="U93" s="112"/>
      <c r="V93" s="112"/>
      <c r="W93" s="112"/>
      <c r="X93" s="112"/>
      <c r="Y93" s="112"/>
      <c r="Z93" s="112">
        <v>1062992</v>
      </c>
      <c r="AA93" s="112">
        <f>1062992+3508</f>
        <v>1066500</v>
      </c>
      <c r="AB93" s="63">
        <v>1066500</v>
      </c>
      <c r="AC93" s="976">
        <f t="shared" si="25"/>
        <v>5016500</v>
      </c>
      <c r="AD93" s="288"/>
      <c r="AE93" s="288"/>
      <c r="AF93" s="288"/>
      <c r="AG93" s="288"/>
      <c r="AH93" s="65" t="s">
        <v>225</v>
      </c>
      <c r="AJ93" s="918"/>
      <c r="AK93" s="918"/>
      <c r="AL93" s="918">
        <f t="shared" si="26"/>
        <v>3950000</v>
      </c>
      <c r="AM93" s="918">
        <f t="shared" si="27"/>
        <v>1066500</v>
      </c>
      <c r="AN93" s="918">
        <f t="shared" si="28"/>
        <v>0</v>
      </c>
    </row>
    <row r="94" spans="1:40" ht="24.75" customHeight="1" x14ac:dyDescent="0.2">
      <c r="A94" s="889" t="s">
        <v>738</v>
      </c>
      <c r="B94" s="289" t="s">
        <v>739</v>
      </c>
      <c r="C94" s="613" t="s">
        <v>2069</v>
      </c>
      <c r="D94" s="919"/>
      <c r="E94" s="891">
        <f t="shared" si="22"/>
        <v>0</v>
      </c>
      <c r="F94" s="891">
        <f t="shared" si="23"/>
        <v>59055</v>
      </c>
      <c r="G94" s="891">
        <f t="shared" si="23"/>
        <v>59055</v>
      </c>
      <c r="H94" s="112"/>
      <c r="I94" s="112"/>
      <c r="J94" s="112"/>
      <c r="K94" s="112"/>
      <c r="L94" s="112">
        <v>46500</v>
      </c>
      <c r="M94" s="112">
        <v>46500</v>
      </c>
      <c r="N94" s="112"/>
      <c r="O94" s="112"/>
      <c r="P94" s="63"/>
      <c r="Q94" s="892"/>
      <c r="R94" s="112"/>
      <c r="S94" s="112"/>
      <c r="T94" s="112"/>
      <c r="U94" s="112"/>
      <c r="V94" s="112"/>
      <c r="W94" s="112"/>
      <c r="X94" s="112"/>
      <c r="Y94" s="112"/>
      <c r="Z94" s="112"/>
      <c r="AA94" s="112">
        <v>12555</v>
      </c>
      <c r="AB94" s="63">
        <v>12555</v>
      </c>
      <c r="AC94" s="976">
        <f t="shared" si="25"/>
        <v>59055</v>
      </c>
      <c r="AD94" s="288"/>
      <c r="AE94" s="288"/>
      <c r="AF94" s="288"/>
      <c r="AG94" s="288"/>
      <c r="AH94" s="65" t="s">
        <v>225</v>
      </c>
      <c r="AJ94" s="918"/>
      <c r="AK94" s="918"/>
      <c r="AL94" s="918">
        <f t="shared" si="26"/>
        <v>46500</v>
      </c>
      <c r="AM94" s="918">
        <f t="shared" si="27"/>
        <v>12555</v>
      </c>
      <c r="AN94" s="918">
        <f t="shared" si="28"/>
        <v>0</v>
      </c>
    </row>
    <row r="95" spans="1:40" ht="24.75" customHeight="1" x14ac:dyDescent="0.2">
      <c r="A95" s="889" t="s">
        <v>738</v>
      </c>
      <c r="B95" s="289" t="s">
        <v>2098</v>
      </c>
      <c r="C95" s="613" t="s">
        <v>2099</v>
      </c>
      <c r="D95" s="919"/>
      <c r="E95" s="891">
        <f>+H95+K95+N95+Q95+T95+W95+Z95</f>
        <v>0</v>
      </c>
      <c r="F95" s="891">
        <f>+I95+L95+O95+R95+U95+X95+AA95</f>
        <v>23495</v>
      </c>
      <c r="G95" s="891">
        <f t="shared" si="23"/>
        <v>23495</v>
      </c>
      <c r="H95" s="112"/>
      <c r="I95" s="112"/>
      <c r="J95" s="112"/>
      <c r="K95" s="112"/>
      <c r="L95" s="112"/>
      <c r="M95" s="112"/>
      <c r="N95" s="112"/>
      <c r="O95" s="112"/>
      <c r="P95" s="63"/>
      <c r="Q95" s="892"/>
      <c r="R95" s="112">
        <v>18500</v>
      </c>
      <c r="S95" s="112">
        <v>18500</v>
      </c>
      <c r="T95" s="112"/>
      <c r="U95" s="112"/>
      <c r="V95" s="112"/>
      <c r="W95" s="112"/>
      <c r="X95" s="112"/>
      <c r="Y95" s="112"/>
      <c r="Z95" s="112"/>
      <c r="AA95" s="112">
        <v>4995</v>
      </c>
      <c r="AB95" s="63">
        <v>4995</v>
      </c>
      <c r="AC95" s="976">
        <f t="shared" si="25"/>
        <v>23495</v>
      </c>
      <c r="AD95" s="288"/>
      <c r="AE95" s="288"/>
      <c r="AF95" s="288"/>
      <c r="AG95" s="288"/>
      <c r="AH95" s="65" t="s">
        <v>225</v>
      </c>
      <c r="AJ95" s="918"/>
      <c r="AK95" s="918"/>
      <c r="AL95" s="918">
        <f t="shared" si="26"/>
        <v>18500</v>
      </c>
      <c r="AM95" s="918">
        <f t="shared" si="27"/>
        <v>4995</v>
      </c>
      <c r="AN95" s="918">
        <f t="shared" si="28"/>
        <v>0</v>
      </c>
    </row>
    <row r="96" spans="1:40" ht="24.75" customHeight="1" x14ac:dyDescent="0.2">
      <c r="A96" s="889" t="s">
        <v>738</v>
      </c>
      <c r="B96" s="289" t="s">
        <v>2098</v>
      </c>
      <c r="C96" s="613" t="s">
        <v>2100</v>
      </c>
      <c r="D96" s="919"/>
      <c r="E96" s="891">
        <f>+H96+K96+N96+Q96+T96+W96+Z96</f>
        <v>0</v>
      </c>
      <c r="F96" s="891">
        <f>+I96+L96+O96+R96+U96+X96+AA96</f>
        <v>3581400</v>
      </c>
      <c r="G96" s="891">
        <f t="shared" si="23"/>
        <v>3581400</v>
      </c>
      <c r="H96" s="112"/>
      <c r="I96" s="112"/>
      <c r="J96" s="112"/>
      <c r="K96" s="112"/>
      <c r="L96" s="112">
        <v>2820000</v>
      </c>
      <c r="M96" s="112">
        <v>2820000</v>
      </c>
      <c r="N96" s="112"/>
      <c r="O96" s="112"/>
      <c r="P96" s="63"/>
      <c r="Q96" s="892"/>
      <c r="R96" s="112"/>
      <c r="S96" s="112"/>
      <c r="T96" s="112"/>
      <c r="U96" s="112"/>
      <c r="V96" s="112"/>
      <c r="W96" s="112"/>
      <c r="X96" s="112"/>
      <c r="Y96" s="112"/>
      <c r="Z96" s="112"/>
      <c r="AA96" s="112">
        <v>761400</v>
      </c>
      <c r="AB96" s="63">
        <v>761400</v>
      </c>
      <c r="AC96" s="976">
        <f t="shared" si="25"/>
        <v>3581400</v>
      </c>
      <c r="AD96" s="288"/>
      <c r="AE96" s="288"/>
      <c r="AF96" s="288"/>
      <c r="AG96" s="288"/>
      <c r="AH96" s="65" t="s">
        <v>225</v>
      </c>
      <c r="AJ96" s="918"/>
      <c r="AK96" s="918"/>
      <c r="AL96" s="918">
        <f t="shared" si="26"/>
        <v>2820000</v>
      </c>
      <c r="AM96" s="918">
        <f t="shared" si="27"/>
        <v>761400</v>
      </c>
      <c r="AN96" s="918">
        <f t="shared" si="28"/>
        <v>0</v>
      </c>
    </row>
    <row r="97" spans="1:40" ht="24.75" customHeight="1" x14ac:dyDescent="0.2">
      <c r="A97" s="889" t="s">
        <v>771</v>
      </c>
      <c r="B97" s="289" t="s">
        <v>772</v>
      </c>
      <c r="C97" s="613" t="s">
        <v>992</v>
      </c>
      <c r="D97" s="919"/>
      <c r="E97" s="891">
        <f t="shared" si="22"/>
        <v>1409700</v>
      </c>
      <c r="F97" s="891">
        <f t="shared" si="23"/>
        <v>1409700</v>
      </c>
      <c r="G97" s="891">
        <f t="shared" si="23"/>
        <v>0</v>
      </c>
      <c r="H97" s="112">
        <v>1110000</v>
      </c>
      <c r="I97" s="112">
        <v>1110000</v>
      </c>
      <c r="J97" s="112"/>
      <c r="K97" s="112"/>
      <c r="L97" s="112"/>
      <c r="M97" s="112"/>
      <c r="N97" s="112"/>
      <c r="O97" s="112"/>
      <c r="P97" s="63"/>
      <c r="Q97" s="892"/>
      <c r="R97" s="112"/>
      <c r="S97" s="112"/>
      <c r="T97" s="112"/>
      <c r="U97" s="112"/>
      <c r="V97" s="112"/>
      <c r="W97" s="112"/>
      <c r="X97" s="112"/>
      <c r="Y97" s="112"/>
      <c r="Z97" s="112">
        <v>299700</v>
      </c>
      <c r="AA97" s="112">
        <v>299700</v>
      </c>
      <c r="AB97" s="63">
        <v>0</v>
      </c>
      <c r="AC97" s="976">
        <f t="shared" si="25"/>
        <v>1409700</v>
      </c>
      <c r="AD97" s="288"/>
      <c r="AE97" s="288"/>
      <c r="AF97" s="288"/>
      <c r="AG97" s="288"/>
      <c r="AH97" s="63" t="s">
        <v>225</v>
      </c>
      <c r="AJ97" s="918"/>
      <c r="AK97" s="918"/>
      <c r="AL97" s="918">
        <f t="shared" si="26"/>
        <v>0</v>
      </c>
      <c r="AM97" s="918">
        <f t="shared" si="27"/>
        <v>0</v>
      </c>
      <c r="AN97" s="918">
        <f t="shared" si="28"/>
        <v>0</v>
      </c>
    </row>
    <row r="98" spans="1:40" ht="24.75" customHeight="1" x14ac:dyDescent="0.2">
      <c r="A98" s="897" t="s">
        <v>424</v>
      </c>
      <c r="B98" s="289" t="s">
        <v>556</v>
      </c>
      <c r="C98" s="613" t="s">
        <v>555</v>
      </c>
      <c r="D98" s="919"/>
      <c r="E98" s="891">
        <f t="shared" si="22"/>
        <v>254000</v>
      </c>
      <c r="F98" s="891">
        <f t="shared" si="23"/>
        <v>254000</v>
      </c>
      <c r="G98" s="891">
        <f t="shared" si="23"/>
        <v>0</v>
      </c>
      <c r="H98" s="112"/>
      <c r="I98" s="112"/>
      <c r="J98" s="112"/>
      <c r="K98" s="112"/>
      <c r="L98" s="112"/>
      <c r="M98" s="112"/>
      <c r="N98" s="112"/>
      <c r="O98" s="112"/>
      <c r="P98" s="63"/>
      <c r="Q98" s="892">
        <v>200000</v>
      </c>
      <c r="R98" s="112">
        <v>200000</v>
      </c>
      <c r="S98" s="112"/>
      <c r="T98" s="112"/>
      <c r="U98" s="112"/>
      <c r="V98" s="112"/>
      <c r="W98" s="112"/>
      <c r="X98" s="112"/>
      <c r="Y98" s="112"/>
      <c r="Z98" s="112">
        <v>54000</v>
      </c>
      <c r="AA98" s="112">
        <v>54000</v>
      </c>
      <c r="AB98" s="63"/>
      <c r="AC98" s="976">
        <f t="shared" si="25"/>
        <v>254000</v>
      </c>
      <c r="AD98" s="288"/>
      <c r="AE98" s="288"/>
      <c r="AF98" s="288"/>
      <c r="AG98" s="288"/>
      <c r="AH98" s="63" t="s">
        <v>225</v>
      </c>
      <c r="AJ98" s="918">
        <f>SUM(AC98:AG98)</f>
        <v>254000</v>
      </c>
      <c r="AK98" s="918">
        <f>+AJ98-E98</f>
        <v>0</v>
      </c>
      <c r="AL98" s="918">
        <f t="shared" si="26"/>
        <v>0</v>
      </c>
      <c r="AM98" s="918">
        <f t="shared" si="27"/>
        <v>0</v>
      </c>
      <c r="AN98" s="918">
        <f t="shared" si="28"/>
        <v>0</v>
      </c>
    </row>
    <row r="99" spans="1:40" ht="24.75" customHeight="1" x14ac:dyDescent="0.2">
      <c r="A99" s="897" t="s">
        <v>424</v>
      </c>
      <c r="B99" s="289" t="s">
        <v>556</v>
      </c>
      <c r="C99" s="613" t="s">
        <v>938</v>
      </c>
      <c r="D99" s="919"/>
      <c r="E99" s="891">
        <f t="shared" si="22"/>
        <v>0</v>
      </c>
      <c r="F99" s="891">
        <f t="shared" si="23"/>
        <v>0</v>
      </c>
      <c r="G99" s="891">
        <f t="shared" si="23"/>
        <v>0</v>
      </c>
      <c r="H99" s="112"/>
      <c r="I99" s="112"/>
      <c r="J99" s="112"/>
      <c r="K99" s="112"/>
      <c r="L99" s="112"/>
      <c r="M99" s="112"/>
      <c r="N99" s="112"/>
      <c r="O99" s="112"/>
      <c r="P99" s="63"/>
      <c r="Q99" s="892"/>
      <c r="R99" s="112"/>
      <c r="S99" s="112"/>
      <c r="T99" s="112"/>
      <c r="U99" s="112"/>
      <c r="V99" s="112"/>
      <c r="W99" s="112"/>
      <c r="X99" s="112"/>
      <c r="Y99" s="112"/>
      <c r="Z99" s="112"/>
      <c r="AA99" s="112"/>
      <c r="AB99" s="63"/>
      <c r="AC99" s="976">
        <f t="shared" si="25"/>
        <v>0</v>
      </c>
      <c r="AD99" s="288"/>
      <c r="AE99" s="288"/>
      <c r="AF99" s="288"/>
      <c r="AG99" s="288">
        <v>20000000</v>
      </c>
      <c r="AH99" s="63" t="s">
        <v>225</v>
      </c>
      <c r="AJ99" s="918"/>
      <c r="AK99" s="918"/>
      <c r="AL99" s="918">
        <f t="shared" si="26"/>
        <v>0</v>
      </c>
      <c r="AM99" s="918">
        <f t="shared" si="27"/>
        <v>0</v>
      </c>
      <c r="AN99" s="918">
        <f t="shared" si="28"/>
        <v>0</v>
      </c>
    </row>
    <row r="100" spans="1:40" ht="24.75" customHeight="1" x14ac:dyDescent="0.2">
      <c r="A100" s="889" t="s">
        <v>132</v>
      </c>
      <c r="B100" s="289" t="s">
        <v>593</v>
      </c>
      <c r="C100" s="613" t="s">
        <v>944</v>
      </c>
      <c r="D100" s="919"/>
      <c r="E100" s="891">
        <f t="shared" si="22"/>
        <v>6000000</v>
      </c>
      <c r="F100" s="891">
        <f t="shared" si="23"/>
        <v>5755070</v>
      </c>
      <c r="G100" s="891">
        <f t="shared" si="23"/>
        <v>2342418</v>
      </c>
      <c r="H100" s="112"/>
      <c r="I100" s="112"/>
      <c r="J100" s="112"/>
      <c r="K100" s="112"/>
      <c r="L100" s="112"/>
      <c r="M100" s="112"/>
      <c r="N100" s="112"/>
      <c r="O100" s="112"/>
      <c r="P100" s="63"/>
      <c r="Q100" s="892">
        <v>4724409</v>
      </c>
      <c r="R100" s="112">
        <v>4531551</v>
      </c>
      <c r="S100" s="112">
        <v>1844424</v>
      </c>
      <c r="T100" s="112"/>
      <c r="U100" s="112"/>
      <c r="V100" s="112"/>
      <c r="W100" s="112"/>
      <c r="X100" s="112"/>
      <c r="Y100" s="112"/>
      <c r="Z100" s="112">
        <v>1275591</v>
      </c>
      <c r="AA100" s="112">
        <v>1223519</v>
      </c>
      <c r="AB100" s="63">
        <v>497994</v>
      </c>
      <c r="AC100" s="976">
        <f t="shared" si="25"/>
        <v>5755070</v>
      </c>
      <c r="AD100" s="288"/>
      <c r="AE100" s="288"/>
      <c r="AF100" s="288"/>
      <c r="AG100" s="288"/>
      <c r="AH100" s="63" t="s">
        <v>225</v>
      </c>
      <c r="AJ100" s="918"/>
      <c r="AK100" s="918"/>
      <c r="AL100" s="918">
        <f t="shared" si="26"/>
        <v>1844423.6220472441</v>
      </c>
      <c r="AM100" s="918">
        <f t="shared" si="27"/>
        <v>497994.37795275589</v>
      </c>
      <c r="AN100" s="918">
        <f t="shared" si="28"/>
        <v>-0.37795275589451194</v>
      </c>
    </row>
    <row r="101" spans="1:40" ht="24.75" customHeight="1" x14ac:dyDescent="0.2">
      <c r="A101" s="889" t="s">
        <v>132</v>
      </c>
      <c r="B101" s="289" t="s">
        <v>593</v>
      </c>
      <c r="C101" s="613" t="s">
        <v>1339</v>
      </c>
      <c r="D101" s="919"/>
      <c r="E101" s="891">
        <f t="shared" si="22"/>
        <v>0</v>
      </c>
      <c r="F101" s="891">
        <f t="shared" si="23"/>
        <v>0</v>
      </c>
      <c r="G101" s="891">
        <f t="shared" si="23"/>
        <v>0</v>
      </c>
      <c r="H101" s="112"/>
      <c r="I101" s="112"/>
      <c r="J101" s="112"/>
      <c r="K101" s="112"/>
      <c r="L101" s="112"/>
      <c r="M101" s="112"/>
      <c r="N101" s="112"/>
      <c r="O101" s="112"/>
      <c r="P101" s="63"/>
      <c r="Q101" s="892"/>
      <c r="R101" s="112"/>
      <c r="S101" s="112"/>
      <c r="T101" s="112"/>
      <c r="U101" s="112"/>
      <c r="V101" s="112"/>
      <c r="W101" s="112"/>
      <c r="X101" s="112"/>
      <c r="Y101" s="112"/>
      <c r="Z101" s="112"/>
      <c r="AA101" s="112"/>
      <c r="AB101" s="63"/>
      <c r="AC101" s="976">
        <f t="shared" si="25"/>
        <v>0</v>
      </c>
      <c r="AD101" s="288"/>
      <c r="AE101" s="288"/>
      <c r="AF101" s="288"/>
      <c r="AG101" s="288"/>
      <c r="AH101" s="63" t="s">
        <v>225</v>
      </c>
      <c r="AJ101" s="918"/>
      <c r="AK101" s="918"/>
      <c r="AL101" s="918">
        <f t="shared" si="26"/>
        <v>0</v>
      </c>
      <c r="AM101" s="918">
        <f t="shared" si="27"/>
        <v>0</v>
      </c>
      <c r="AN101" s="918">
        <f t="shared" si="28"/>
        <v>0</v>
      </c>
    </row>
    <row r="102" spans="1:40" ht="24.75" customHeight="1" x14ac:dyDescent="0.2">
      <c r="A102" s="889" t="s">
        <v>2101</v>
      </c>
      <c r="B102" s="289" t="s">
        <v>593</v>
      </c>
      <c r="C102" s="613" t="s">
        <v>2102</v>
      </c>
      <c r="D102" s="919"/>
      <c r="E102" s="891">
        <f>+H102+K102+N102+Q102+T102+W102+Z102</f>
        <v>0</v>
      </c>
      <c r="F102" s="891">
        <f>+I102+L102+O102+R102+U102+X102+AA102</f>
        <v>54990</v>
      </c>
      <c r="G102" s="891">
        <f t="shared" si="23"/>
        <v>54990</v>
      </c>
      <c r="H102" s="112"/>
      <c r="I102" s="112"/>
      <c r="J102" s="112"/>
      <c r="K102" s="112"/>
      <c r="L102" s="112"/>
      <c r="M102" s="112"/>
      <c r="N102" s="112"/>
      <c r="O102" s="112">
        <v>43299</v>
      </c>
      <c r="P102" s="63">
        <v>43299</v>
      </c>
      <c r="Q102" s="892"/>
      <c r="R102" s="112"/>
      <c r="S102" s="112"/>
      <c r="T102" s="112"/>
      <c r="U102" s="112"/>
      <c r="V102" s="112"/>
      <c r="W102" s="112"/>
      <c r="X102" s="112"/>
      <c r="Y102" s="112"/>
      <c r="Z102" s="112"/>
      <c r="AA102" s="112">
        <v>11691</v>
      </c>
      <c r="AB102" s="63">
        <v>11691</v>
      </c>
      <c r="AC102" s="976">
        <f t="shared" si="25"/>
        <v>54990</v>
      </c>
      <c r="AD102" s="288"/>
      <c r="AE102" s="288"/>
      <c r="AF102" s="288"/>
      <c r="AG102" s="288"/>
      <c r="AH102" s="63" t="s">
        <v>225</v>
      </c>
      <c r="AJ102" s="918"/>
      <c r="AK102" s="918"/>
      <c r="AL102" s="918">
        <f t="shared" si="26"/>
        <v>43299.212598425198</v>
      </c>
      <c r="AM102" s="918">
        <f t="shared" si="27"/>
        <v>11690.787401574802</v>
      </c>
      <c r="AN102" s="918">
        <f t="shared" si="28"/>
        <v>0.21259842519793892</v>
      </c>
    </row>
    <row r="103" spans="1:40" ht="24.75" customHeight="1" x14ac:dyDescent="0.2">
      <c r="A103" s="897" t="s">
        <v>429</v>
      </c>
      <c r="B103" s="289" t="s">
        <v>508</v>
      </c>
      <c r="C103" s="613" t="s">
        <v>754</v>
      </c>
      <c r="D103" s="919"/>
      <c r="E103" s="891">
        <f t="shared" si="22"/>
        <v>635000</v>
      </c>
      <c r="F103" s="891">
        <f t="shared" si="23"/>
        <v>511260</v>
      </c>
      <c r="G103" s="891">
        <f t="shared" si="23"/>
        <v>511260</v>
      </c>
      <c r="H103" s="112"/>
      <c r="I103" s="112"/>
      <c r="J103" s="112"/>
      <c r="K103" s="112"/>
      <c r="L103" s="112"/>
      <c r="M103" s="112"/>
      <c r="N103" s="112"/>
      <c r="O103" s="112"/>
      <c r="P103" s="63"/>
      <c r="Q103" s="892">
        <v>500000</v>
      </c>
      <c r="R103" s="112">
        <v>431123</v>
      </c>
      <c r="S103" s="112">
        <f>285000+134320+11803</f>
        <v>431123</v>
      </c>
      <c r="T103" s="112"/>
      <c r="U103" s="112"/>
      <c r="V103" s="112"/>
      <c r="W103" s="112"/>
      <c r="X103" s="112"/>
      <c r="Y103" s="112"/>
      <c r="Z103" s="112">
        <v>135000</v>
      </c>
      <c r="AA103" s="112">
        <v>80137</v>
      </c>
      <c r="AB103" s="63">
        <f>3187+76950</f>
        <v>80137</v>
      </c>
      <c r="AC103" s="976">
        <f t="shared" si="25"/>
        <v>511260</v>
      </c>
      <c r="AD103" s="288"/>
      <c r="AE103" s="288"/>
      <c r="AF103" s="288"/>
      <c r="AG103" s="288"/>
      <c r="AH103" s="63" t="s">
        <v>225</v>
      </c>
      <c r="AJ103" s="918">
        <f>SUM(AC103:AG103)</f>
        <v>511260</v>
      </c>
      <c r="AK103" s="918">
        <f>+AJ103-E103</f>
        <v>-123740</v>
      </c>
      <c r="AL103" s="918">
        <f t="shared" si="26"/>
        <v>402566.92913385824</v>
      </c>
      <c r="AM103" s="918">
        <f t="shared" si="27"/>
        <v>108693.07086614176</v>
      </c>
      <c r="AN103" s="918">
        <f t="shared" si="28"/>
        <v>-28556.070866141759</v>
      </c>
    </row>
    <row r="104" spans="1:40" ht="24.75" customHeight="1" x14ac:dyDescent="0.2">
      <c r="A104" s="897" t="s">
        <v>429</v>
      </c>
      <c r="B104" s="289" t="s">
        <v>508</v>
      </c>
      <c r="C104" s="613" t="s">
        <v>2103</v>
      </c>
      <c r="D104" s="919"/>
      <c r="E104" s="891">
        <f>+H104+K104+N104+Q104+T104+W104+Z104</f>
        <v>0</v>
      </c>
      <c r="F104" s="891">
        <f>+I104+L104+O104+R104+U104+X104+AA104</f>
        <v>562610</v>
      </c>
      <c r="G104" s="891">
        <f t="shared" si="23"/>
        <v>562610</v>
      </c>
      <c r="H104" s="112"/>
      <c r="I104" s="112"/>
      <c r="J104" s="112"/>
      <c r="K104" s="112"/>
      <c r="L104" s="112"/>
      <c r="M104" s="112"/>
      <c r="N104" s="112"/>
      <c r="O104" s="112"/>
      <c r="P104" s="63"/>
      <c r="Q104" s="892"/>
      <c r="R104" s="112">
        <v>443000</v>
      </c>
      <c r="S104" s="112">
        <v>443000</v>
      </c>
      <c r="T104" s="112"/>
      <c r="U104" s="112"/>
      <c r="V104" s="112"/>
      <c r="W104" s="112"/>
      <c r="X104" s="112"/>
      <c r="Y104" s="112"/>
      <c r="Z104" s="112"/>
      <c r="AA104" s="112">
        <f>54000+65610</f>
        <v>119610</v>
      </c>
      <c r="AB104" s="63">
        <v>119610</v>
      </c>
      <c r="AC104" s="976">
        <f t="shared" si="25"/>
        <v>562610</v>
      </c>
      <c r="AD104" s="288"/>
      <c r="AE104" s="288"/>
      <c r="AF104" s="288"/>
      <c r="AG104" s="288"/>
      <c r="AH104" s="63" t="s">
        <v>225</v>
      </c>
      <c r="AJ104" s="918"/>
      <c r="AK104" s="918"/>
      <c r="AL104" s="918">
        <f t="shared" si="26"/>
        <v>443000</v>
      </c>
      <c r="AM104" s="918">
        <f t="shared" si="27"/>
        <v>119610</v>
      </c>
      <c r="AN104" s="918">
        <f t="shared" si="28"/>
        <v>0</v>
      </c>
    </row>
    <row r="105" spans="1:40" ht="24.75" customHeight="1" x14ac:dyDescent="0.2">
      <c r="A105" s="897" t="s">
        <v>431</v>
      </c>
      <c r="B105" s="289" t="s">
        <v>508</v>
      </c>
      <c r="C105" s="613" t="s">
        <v>557</v>
      </c>
      <c r="D105" s="919"/>
      <c r="E105" s="891">
        <f t="shared" si="22"/>
        <v>889000</v>
      </c>
      <c r="F105" s="891">
        <f t="shared" si="23"/>
        <v>935142</v>
      </c>
      <c r="G105" s="891">
        <f t="shared" si="23"/>
        <v>276500</v>
      </c>
      <c r="H105" s="112"/>
      <c r="I105" s="112"/>
      <c r="J105" s="112"/>
      <c r="K105" s="112"/>
      <c r="L105" s="112"/>
      <c r="M105" s="112"/>
      <c r="N105" s="112">
        <v>100000</v>
      </c>
      <c r="O105" s="112">
        <f>100000+46142</f>
        <v>146142</v>
      </c>
      <c r="P105" s="63">
        <f>125197+20945</f>
        <v>146142</v>
      </c>
      <c r="Q105" s="892">
        <v>600000</v>
      </c>
      <c r="R105" s="112">
        <v>600000</v>
      </c>
      <c r="S105" s="112">
        <f>26772+44803</f>
        <v>71575</v>
      </c>
      <c r="T105" s="112"/>
      <c r="U105" s="112"/>
      <c r="V105" s="112"/>
      <c r="W105" s="112"/>
      <c r="X105" s="112"/>
      <c r="Y105" s="112"/>
      <c r="Z105" s="112">
        <v>189000</v>
      </c>
      <c r="AA105" s="112">
        <v>189000</v>
      </c>
      <c r="AB105" s="63">
        <f>5655+7228+12097+33803</f>
        <v>58783</v>
      </c>
      <c r="AC105" s="976">
        <f t="shared" si="25"/>
        <v>935142</v>
      </c>
      <c r="AD105" s="288"/>
      <c r="AE105" s="288"/>
      <c r="AF105" s="288"/>
      <c r="AG105" s="288"/>
      <c r="AH105" s="65" t="s">
        <v>225</v>
      </c>
      <c r="AJ105" s="918"/>
      <c r="AK105" s="918"/>
      <c r="AL105" s="918">
        <f t="shared" si="26"/>
        <v>217716.53543307085</v>
      </c>
      <c r="AM105" s="918">
        <f t="shared" si="27"/>
        <v>58783.464566929149</v>
      </c>
      <c r="AN105" s="918">
        <f t="shared" si="28"/>
        <v>-0.46456692914944142</v>
      </c>
    </row>
    <row r="106" spans="1:40" ht="24.75" customHeight="1" x14ac:dyDescent="0.2">
      <c r="A106" s="897" t="s">
        <v>431</v>
      </c>
      <c r="B106" s="289" t="s">
        <v>508</v>
      </c>
      <c r="C106" s="613" t="s">
        <v>797</v>
      </c>
      <c r="D106" s="919"/>
      <c r="E106" s="891">
        <f t="shared" si="22"/>
        <v>13970000</v>
      </c>
      <c r="F106" s="891">
        <f t="shared" si="23"/>
        <v>13970000</v>
      </c>
      <c r="G106" s="891">
        <f t="shared" si="23"/>
        <v>13173177</v>
      </c>
      <c r="H106" s="112"/>
      <c r="I106" s="112"/>
      <c r="J106" s="112"/>
      <c r="K106" s="112"/>
      <c r="L106" s="112"/>
      <c r="M106" s="112"/>
      <c r="N106" s="112"/>
      <c r="O106" s="112"/>
      <c r="P106" s="63"/>
      <c r="Q106" s="892">
        <v>11000000</v>
      </c>
      <c r="R106" s="112">
        <v>11000000</v>
      </c>
      <c r="S106" s="112">
        <f>10280000+92580</f>
        <v>10372580</v>
      </c>
      <c r="T106" s="112"/>
      <c r="U106" s="112"/>
      <c r="V106" s="112"/>
      <c r="W106" s="112"/>
      <c r="X106" s="112"/>
      <c r="Y106" s="112"/>
      <c r="Z106" s="112">
        <v>2970000</v>
      </c>
      <c r="AA106" s="112">
        <v>2970000</v>
      </c>
      <c r="AB106" s="63">
        <f>2775600+24997</f>
        <v>2800597</v>
      </c>
      <c r="AC106" s="976">
        <f t="shared" si="25"/>
        <v>13970000</v>
      </c>
      <c r="AD106" s="288"/>
      <c r="AE106" s="288"/>
      <c r="AF106" s="288"/>
      <c r="AG106" s="288"/>
      <c r="AH106" s="65" t="s">
        <v>225</v>
      </c>
      <c r="AJ106" s="918"/>
      <c r="AK106" s="918"/>
      <c r="AL106" s="918">
        <f t="shared" si="26"/>
        <v>10372580.314960631</v>
      </c>
      <c r="AM106" s="918">
        <f t="shared" si="27"/>
        <v>2800596.6850393694</v>
      </c>
      <c r="AN106" s="918">
        <f t="shared" si="28"/>
        <v>0.31496063061058521</v>
      </c>
    </row>
    <row r="107" spans="1:40" ht="24.75" customHeight="1" x14ac:dyDescent="0.2">
      <c r="A107" s="897" t="s">
        <v>431</v>
      </c>
      <c r="B107" s="289" t="s">
        <v>508</v>
      </c>
      <c r="C107" s="613" t="s">
        <v>999</v>
      </c>
      <c r="D107" s="919"/>
      <c r="E107" s="891">
        <f t="shared" si="22"/>
        <v>2730500</v>
      </c>
      <c r="F107" s="891">
        <f t="shared" si="23"/>
        <v>2730500</v>
      </c>
      <c r="G107" s="891">
        <f t="shared" si="23"/>
        <v>2730500</v>
      </c>
      <c r="H107" s="112"/>
      <c r="I107" s="112"/>
      <c r="J107" s="112"/>
      <c r="K107" s="112"/>
      <c r="L107" s="112"/>
      <c r="M107" s="112"/>
      <c r="N107" s="112"/>
      <c r="O107" s="112"/>
      <c r="P107" s="63"/>
      <c r="Q107" s="892">
        <v>2150000</v>
      </c>
      <c r="R107" s="112">
        <v>2150000</v>
      </c>
      <c r="S107" s="112">
        <v>2150000</v>
      </c>
      <c r="T107" s="112"/>
      <c r="U107" s="112"/>
      <c r="V107" s="112"/>
      <c r="W107" s="112"/>
      <c r="X107" s="112"/>
      <c r="Y107" s="112"/>
      <c r="Z107" s="112">
        <v>580500</v>
      </c>
      <c r="AA107" s="112">
        <v>580500</v>
      </c>
      <c r="AB107" s="63">
        <v>580500</v>
      </c>
      <c r="AC107" s="976">
        <f t="shared" si="25"/>
        <v>2730500</v>
      </c>
      <c r="AD107" s="288"/>
      <c r="AE107" s="288"/>
      <c r="AF107" s="288"/>
      <c r="AG107" s="288"/>
      <c r="AH107" s="65" t="s">
        <v>225</v>
      </c>
      <c r="AJ107" s="918"/>
      <c r="AK107" s="918"/>
      <c r="AL107" s="918">
        <f t="shared" si="26"/>
        <v>2150000</v>
      </c>
      <c r="AM107" s="918">
        <f t="shared" si="27"/>
        <v>580500</v>
      </c>
      <c r="AN107" s="918">
        <f t="shared" si="28"/>
        <v>0</v>
      </c>
    </row>
    <row r="108" spans="1:40" ht="24.75" customHeight="1" x14ac:dyDescent="0.2">
      <c r="A108" s="897" t="s">
        <v>431</v>
      </c>
      <c r="B108" s="289" t="s">
        <v>508</v>
      </c>
      <c r="C108" s="613" t="s">
        <v>1405</v>
      </c>
      <c r="D108" s="919"/>
      <c r="E108" s="891">
        <f t="shared" si="22"/>
        <v>0</v>
      </c>
      <c r="F108" s="891">
        <f t="shared" si="23"/>
        <v>6584950</v>
      </c>
      <c r="G108" s="891">
        <f t="shared" si="23"/>
        <v>6584950</v>
      </c>
      <c r="H108" s="112"/>
      <c r="I108" s="112"/>
      <c r="J108" s="112"/>
      <c r="K108" s="112"/>
      <c r="L108" s="112">
        <v>5185000</v>
      </c>
      <c r="M108" s="112">
        <v>5185000</v>
      </c>
      <c r="N108" s="112"/>
      <c r="O108" s="112"/>
      <c r="P108" s="63"/>
      <c r="Q108" s="892"/>
      <c r="R108" s="112"/>
      <c r="S108" s="112"/>
      <c r="T108" s="112"/>
      <c r="U108" s="112"/>
      <c r="V108" s="112"/>
      <c r="W108" s="112"/>
      <c r="X108" s="112"/>
      <c r="Y108" s="112"/>
      <c r="Z108" s="112"/>
      <c r="AA108" s="112">
        <v>1399950</v>
      </c>
      <c r="AB108" s="63">
        <v>1399950</v>
      </c>
      <c r="AC108" s="976">
        <f t="shared" si="25"/>
        <v>6584950</v>
      </c>
      <c r="AD108" s="288"/>
      <c r="AE108" s="288"/>
      <c r="AF108" s="288"/>
      <c r="AG108" s="288"/>
      <c r="AH108" s="65" t="s">
        <v>225</v>
      </c>
      <c r="AJ108" s="918"/>
      <c r="AK108" s="918"/>
      <c r="AL108" s="918">
        <f t="shared" si="26"/>
        <v>5185000</v>
      </c>
      <c r="AM108" s="918">
        <f t="shared" si="27"/>
        <v>1399950</v>
      </c>
      <c r="AN108" s="918">
        <f t="shared" si="28"/>
        <v>0</v>
      </c>
    </row>
    <row r="109" spans="1:40" ht="24.75" customHeight="1" x14ac:dyDescent="0.2">
      <c r="A109" s="929" t="s">
        <v>431</v>
      </c>
      <c r="B109" s="921" t="s">
        <v>508</v>
      </c>
      <c r="C109" s="613" t="s">
        <v>2104</v>
      </c>
      <c r="D109" s="930"/>
      <c r="E109" s="891">
        <f>+H109+K109+N109+Q109+T109+W109+Z109</f>
        <v>0</v>
      </c>
      <c r="F109" s="891">
        <f>+I109+L109+O109+R109+U109+X109+AA109</f>
        <v>562610</v>
      </c>
      <c r="G109" s="891">
        <f t="shared" si="23"/>
        <v>562610</v>
      </c>
      <c r="H109" s="113"/>
      <c r="I109" s="113"/>
      <c r="J109" s="113"/>
      <c r="K109" s="113"/>
      <c r="L109" s="113"/>
      <c r="M109" s="113"/>
      <c r="N109" s="113"/>
      <c r="O109" s="113"/>
      <c r="P109" s="922"/>
      <c r="Q109" s="923"/>
      <c r="R109" s="113">
        <v>443000</v>
      </c>
      <c r="S109" s="113">
        <v>443000</v>
      </c>
      <c r="T109" s="113"/>
      <c r="U109" s="113"/>
      <c r="V109" s="113"/>
      <c r="W109" s="113"/>
      <c r="X109" s="113"/>
      <c r="Y109" s="113"/>
      <c r="Z109" s="113"/>
      <c r="AA109" s="112">
        <v>119610</v>
      </c>
      <c r="AB109" s="922">
        <v>119610</v>
      </c>
      <c r="AC109" s="976">
        <f t="shared" si="25"/>
        <v>562610</v>
      </c>
      <c r="AD109" s="932"/>
      <c r="AE109" s="932"/>
      <c r="AF109" s="932"/>
      <c r="AG109" s="932"/>
      <c r="AH109" s="950" t="s">
        <v>225</v>
      </c>
      <c r="AJ109" s="918"/>
      <c r="AK109" s="918"/>
      <c r="AL109" s="918">
        <f t="shared" si="26"/>
        <v>443000</v>
      </c>
      <c r="AM109" s="918">
        <f t="shared" si="27"/>
        <v>119610</v>
      </c>
      <c r="AN109" s="918">
        <f t="shared" si="28"/>
        <v>0</v>
      </c>
    </row>
    <row r="110" spans="1:40" ht="24.75" customHeight="1" x14ac:dyDescent="0.2">
      <c r="A110" s="898" t="s">
        <v>752</v>
      </c>
      <c r="B110" s="323" t="s">
        <v>549</v>
      </c>
      <c r="C110" s="142" t="s">
        <v>753</v>
      </c>
      <c r="D110" s="942"/>
      <c r="E110" s="899">
        <f t="shared" si="22"/>
        <v>0</v>
      </c>
      <c r="F110" s="899">
        <f t="shared" si="23"/>
        <v>244930</v>
      </c>
      <c r="G110" s="891">
        <f t="shared" si="23"/>
        <v>244930</v>
      </c>
      <c r="H110" s="143"/>
      <c r="I110" s="143"/>
      <c r="J110" s="143"/>
      <c r="K110" s="143"/>
      <c r="L110" s="143"/>
      <c r="M110" s="143"/>
      <c r="N110" s="143"/>
      <c r="O110" s="143"/>
      <c r="P110" s="162"/>
      <c r="Q110" s="900"/>
      <c r="R110" s="143">
        <v>192858</v>
      </c>
      <c r="S110" s="143">
        <v>192858</v>
      </c>
      <c r="T110" s="143"/>
      <c r="U110" s="143"/>
      <c r="V110" s="143"/>
      <c r="W110" s="143"/>
      <c r="X110" s="143"/>
      <c r="Y110" s="143"/>
      <c r="Z110" s="143"/>
      <c r="AA110" s="143">
        <v>52072</v>
      </c>
      <c r="AB110" s="162">
        <v>52072</v>
      </c>
      <c r="AC110" s="976">
        <f t="shared" si="25"/>
        <v>244930</v>
      </c>
      <c r="AD110" s="285"/>
      <c r="AE110" s="285"/>
      <c r="AF110" s="285"/>
      <c r="AG110" s="141"/>
      <c r="AH110" s="162" t="s">
        <v>225</v>
      </c>
      <c r="AJ110" s="918"/>
      <c r="AK110" s="918"/>
      <c r="AL110" s="918">
        <f t="shared" si="26"/>
        <v>192858.26771653543</v>
      </c>
      <c r="AM110" s="918">
        <f t="shared" si="27"/>
        <v>52071.732283464575</v>
      </c>
      <c r="AN110" s="918">
        <f t="shared" si="28"/>
        <v>0.26771653542527929</v>
      </c>
    </row>
    <row r="111" spans="1:40" ht="24.75" customHeight="1" x14ac:dyDescent="0.2">
      <c r="A111" s="948" t="s">
        <v>495</v>
      </c>
      <c r="B111" s="894" t="s">
        <v>62</v>
      </c>
      <c r="C111" s="608" t="s">
        <v>1007</v>
      </c>
      <c r="D111" s="934"/>
      <c r="E111" s="935">
        <f t="shared" si="22"/>
        <v>635000</v>
      </c>
      <c r="F111" s="935">
        <f t="shared" si="23"/>
        <v>635000</v>
      </c>
      <c r="G111" s="891">
        <f t="shared" si="23"/>
        <v>0</v>
      </c>
      <c r="H111" s="93"/>
      <c r="I111" s="93"/>
      <c r="J111" s="93"/>
      <c r="K111" s="93"/>
      <c r="L111" s="93"/>
      <c r="M111" s="93"/>
      <c r="N111" s="93"/>
      <c r="O111" s="93"/>
      <c r="P111" s="936"/>
      <c r="Q111" s="937">
        <f>500000</f>
        <v>500000</v>
      </c>
      <c r="R111" s="93">
        <f>500000</f>
        <v>500000</v>
      </c>
      <c r="S111" s="93"/>
      <c r="T111" s="93"/>
      <c r="U111" s="93"/>
      <c r="V111" s="93"/>
      <c r="W111" s="93"/>
      <c r="X111" s="93"/>
      <c r="Y111" s="93"/>
      <c r="Z111" s="93">
        <f>135000</f>
        <v>135000</v>
      </c>
      <c r="AA111" s="93">
        <f>135000</f>
        <v>135000</v>
      </c>
      <c r="AB111" s="936"/>
      <c r="AC111" s="976">
        <f t="shared" si="25"/>
        <v>635000</v>
      </c>
      <c r="AD111" s="939"/>
      <c r="AE111" s="939"/>
      <c r="AF111" s="939"/>
      <c r="AG111" s="945"/>
      <c r="AH111" s="951" t="s">
        <v>226</v>
      </c>
      <c r="AJ111" s="918"/>
      <c r="AK111" s="918"/>
      <c r="AL111" s="918">
        <f t="shared" si="26"/>
        <v>0</v>
      </c>
      <c r="AM111" s="918">
        <f t="shared" si="27"/>
        <v>0</v>
      </c>
      <c r="AN111" s="918">
        <f t="shared" si="28"/>
        <v>0</v>
      </c>
    </row>
    <row r="112" spans="1:40" ht="30.75" customHeight="1" x14ac:dyDescent="0.2">
      <c r="A112" s="897" t="s">
        <v>495</v>
      </c>
      <c r="B112" s="289" t="s">
        <v>62</v>
      </c>
      <c r="C112" s="613" t="s">
        <v>2192</v>
      </c>
      <c r="D112" s="919"/>
      <c r="E112" s="891">
        <f t="shared" si="22"/>
        <v>2509520</v>
      </c>
      <c r="F112" s="891">
        <f t="shared" si="23"/>
        <v>2782189</v>
      </c>
      <c r="G112" s="891">
        <f t="shared" si="23"/>
        <v>2782189</v>
      </c>
      <c r="H112" s="112"/>
      <c r="I112" s="112"/>
      <c r="J112" s="112"/>
      <c r="K112" s="112">
        <v>1976000</v>
      </c>
      <c r="L112" s="112">
        <f>1976000+176000+38700</f>
        <v>2190700</v>
      </c>
      <c r="M112" s="112">
        <f>1976000+176000+38700</f>
        <v>2190700</v>
      </c>
      <c r="N112" s="112"/>
      <c r="O112" s="112"/>
      <c r="P112" s="63"/>
      <c r="Q112" s="892"/>
      <c r="R112" s="112"/>
      <c r="S112" s="112"/>
      <c r="T112" s="112"/>
      <c r="U112" s="112"/>
      <c r="V112" s="112"/>
      <c r="W112" s="112"/>
      <c r="X112" s="112"/>
      <c r="Y112" s="112"/>
      <c r="Z112" s="112">
        <v>533520</v>
      </c>
      <c r="AA112" s="112">
        <f>533520+47520+10449</f>
        <v>591489</v>
      </c>
      <c r="AB112" s="63">
        <f>533520+47520+10449</f>
        <v>591489</v>
      </c>
      <c r="AC112" s="976">
        <f t="shared" si="25"/>
        <v>2782189</v>
      </c>
      <c r="AD112" s="288"/>
      <c r="AE112" s="288"/>
      <c r="AF112" s="288"/>
      <c r="AG112" s="124"/>
      <c r="AH112" s="65" t="s">
        <v>226</v>
      </c>
      <c r="AJ112" s="918"/>
      <c r="AK112" s="918"/>
      <c r="AL112" s="918">
        <f t="shared" si="26"/>
        <v>2190700</v>
      </c>
      <c r="AM112" s="918">
        <f t="shared" si="27"/>
        <v>591489</v>
      </c>
      <c r="AN112" s="918">
        <f t="shared" si="28"/>
        <v>0</v>
      </c>
    </row>
    <row r="113" spans="1:40" ht="24.75" customHeight="1" x14ac:dyDescent="0.2">
      <c r="A113" s="897" t="s">
        <v>495</v>
      </c>
      <c r="B113" s="289" t="s">
        <v>62</v>
      </c>
      <c r="C113" s="613" t="s">
        <v>1008</v>
      </c>
      <c r="D113" s="919"/>
      <c r="E113" s="891">
        <f t="shared" si="22"/>
        <v>1438783</v>
      </c>
      <c r="F113" s="891">
        <f t="shared" si="23"/>
        <v>1438783</v>
      </c>
      <c r="G113" s="891">
        <f t="shared" si="23"/>
        <v>1438783</v>
      </c>
      <c r="H113" s="112"/>
      <c r="I113" s="112"/>
      <c r="J113" s="112"/>
      <c r="K113" s="112"/>
      <c r="L113" s="112"/>
      <c r="M113" s="112"/>
      <c r="N113" s="112"/>
      <c r="O113" s="112"/>
      <c r="P113" s="63"/>
      <c r="Q113" s="892">
        <v>1132900</v>
      </c>
      <c r="R113" s="112">
        <v>1132900</v>
      </c>
      <c r="S113" s="112">
        <f>1132900</f>
        <v>1132900</v>
      </c>
      <c r="T113" s="112"/>
      <c r="U113" s="112"/>
      <c r="V113" s="112"/>
      <c r="W113" s="112"/>
      <c r="X113" s="112"/>
      <c r="Y113" s="112"/>
      <c r="Z113" s="112">
        <v>305883</v>
      </c>
      <c r="AA113" s="112">
        <v>305883</v>
      </c>
      <c r="AB113" s="63">
        <v>305883</v>
      </c>
      <c r="AC113" s="976">
        <f t="shared" si="25"/>
        <v>1438783</v>
      </c>
      <c r="AD113" s="288"/>
      <c r="AE113" s="288"/>
      <c r="AF113" s="288"/>
      <c r="AG113" s="124"/>
      <c r="AH113" s="65" t="s">
        <v>226</v>
      </c>
      <c r="AJ113" s="918"/>
      <c r="AK113" s="918"/>
      <c r="AL113" s="918">
        <f t="shared" si="26"/>
        <v>1132900</v>
      </c>
      <c r="AM113" s="918">
        <f t="shared" si="27"/>
        <v>305883</v>
      </c>
      <c r="AN113" s="918">
        <f t="shared" si="28"/>
        <v>0</v>
      </c>
    </row>
    <row r="114" spans="1:40" ht="24.75" customHeight="1" x14ac:dyDescent="0.2">
      <c r="A114" s="897" t="s">
        <v>495</v>
      </c>
      <c r="B114" s="289" t="s">
        <v>62</v>
      </c>
      <c r="C114" s="613" t="s">
        <v>2105</v>
      </c>
      <c r="D114" s="919"/>
      <c r="E114" s="891">
        <f t="shared" ref="E114:F117" si="29">+H114+K114+N114+Q114+T114+W114+Z114</f>
        <v>0</v>
      </c>
      <c r="F114" s="891">
        <f t="shared" si="29"/>
        <v>33905500</v>
      </c>
      <c r="G114" s="891">
        <f t="shared" si="23"/>
        <v>5905500</v>
      </c>
      <c r="H114" s="112"/>
      <c r="I114" s="112"/>
      <c r="J114" s="112"/>
      <c r="K114" s="112"/>
      <c r="L114" s="112">
        <v>26697244</v>
      </c>
      <c r="M114" s="112">
        <v>4650000</v>
      </c>
      <c r="N114" s="112"/>
      <c r="O114" s="112"/>
      <c r="P114" s="63"/>
      <c r="Q114" s="892"/>
      <c r="R114" s="112"/>
      <c r="S114" s="112"/>
      <c r="T114" s="112"/>
      <c r="U114" s="112"/>
      <c r="V114" s="112"/>
      <c r="W114" s="112"/>
      <c r="X114" s="112"/>
      <c r="Y114" s="112"/>
      <c r="Z114" s="112"/>
      <c r="AA114" s="112">
        <v>7208256</v>
      </c>
      <c r="AB114" s="63">
        <v>1255500</v>
      </c>
      <c r="AC114" s="976">
        <f t="shared" si="25"/>
        <v>33905500</v>
      </c>
      <c r="AD114" s="288"/>
      <c r="AE114" s="288"/>
      <c r="AF114" s="288"/>
      <c r="AG114" s="124"/>
      <c r="AH114" s="65" t="s">
        <v>226</v>
      </c>
      <c r="AJ114" s="918"/>
      <c r="AK114" s="918"/>
      <c r="AL114" s="918">
        <f t="shared" si="26"/>
        <v>4650000</v>
      </c>
      <c r="AM114" s="918">
        <f t="shared" si="27"/>
        <v>1255500</v>
      </c>
      <c r="AN114" s="918">
        <f t="shared" si="28"/>
        <v>0</v>
      </c>
    </row>
    <row r="115" spans="1:40" ht="24.75" customHeight="1" x14ac:dyDescent="0.2">
      <c r="A115" s="897" t="s">
        <v>495</v>
      </c>
      <c r="B115" s="289" t="s">
        <v>739</v>
      </c>
      <c r="C115" s="613" t="s">
        <v>2106</v>
      </c>
      <c r="D115" s="919"/>
      <c r="E115" s="891">
        <f t="shared" si="29"/>
        <v>0</v>
      </c>
      <c r="F115" s="891">
        <f t="shared" si="29"/>
        <v>4099179</v>
      </c>
      <c r="G115" s="891">
        <f t="shared" si="23"/>
        <v>4099179</v>
      </c>
      <c r="H115" s="112"/>
      <c r="I115" s="112"/>
      <c r="J115" s="112"/>
      <c r="K115" s="112"/>
      <c r="L115" s="112">
        <v>3227700</v>
      </c>
      <c r="M115" s="112">
        <f>427700+2800000</f>
        <v>3227700</v>
      </c>
      <c r="N115" s="112"/>
      <c r="O115" s="112"/>
      <c r="P115" s="63"/>
      <c r="Q115" s="892"/>
      <c r="R115" s="112"/>
      <c r="S115" s="112"/>
      <c r="T115" s="112"/>
      <c r="U115" s="112"/>
      <c r="V115" s="112"/>
      <c r="W115" s="112"/>
      <c r="X115" s="112"/>
      <c r="Y115" s="112"/>
      <c r="Z115" s="112"/>
      <c r="AA115" s="112">
        <f>756000+115479</f>
        <v>871479</v>
      </c>
      <c r="AB115" s="63">
        <f>756000+115479</f>
        <v>871479</v>
      </c>
      <c r="AC115" s="976">
        <f t="shared" si="25"/>
        <v>4099179</v>
      </c>
      <c r="AD115" s="288"/>
      <c r="AE115" s="288"/>
      <c r="AF115" s="288"/>
      <c r="AG115" s="124"/>
      <c r="AH115" s="65" t="s">
        <v>226</v>
      </c>
      <c r="AJ115" s="918"/>
      <c r="AK115" s="918"/>
      <c r="AL115" s="918">
        <f t="shared" si="26"/>
        <v>3227700</v>
      </c>
      <c r="AM115" s="918">
        <f t="shared" si="27"/>
        <v>871479</v>
      </c>
      <c r="AN115" s="918">
        <f t="shared" si="28"/>
        <v>0</v>
      </c>
    </row>
    <row r="116" spans="1:40" ht="24.75" customHeight="1" x14ac:dyDescent="0.2">
      <c r="A116" s="897" t="s">
        <v>495</v>
      </c>
      <c r="B116" s="289" t="s">
        <v>739</v>
      </c>
      <c r="C116" s="613" t="s">
        <v>2107</v>
      </c>
      <c r="D116" s="919"/>
      <c r="E116" s="891">
        <f t="shared" si="29"/>
        <v>0</v>
      </c>
      <c r="F116" s="891">
        <f t="shared" si="29"/>
        <v>10160</v>
      </c>
      <c r="G116" s="891">
        <f t="shared" si="23"/>
        <v>10160</v>
      </c>
      <c r="H116" s="112"/>
      <c r="I116" s="112"/>
      <c r="J116" s="112"/>
      <c r="K116" s="112"/>
      <c r="L116" s="112"/>
      <c r="M116" s="112"/>
      <c r="N116" s="112"/>
      <c r="O116" s="112"/>
      <c r="P116" s="63"/>
      <c r="Q116" s="892"/>
      <c r="R116" s="112">
        <v>8000</v>
      </c>
      <c r="S116" s="112">
        <v>8000</v>
      </c>
      <c r="T116" s="112"/>
      <c r="U116" s="112"/>
      <c r="V116" s="112"/>
      <c r="W116" s="112"/>
      <c r="X116" s="112"/>
      <c r="Y116" s="112"/>
      <c r="Z116" s="112"/>
      <c r="AA116" s="112">
        <v>2160</v>
      </c>
      <c r="AB116" s="63">
        <v>2160</v>
      </c>
      <c r="AC116" s="976">
        <f t="shared" si="25"/>
        <v>10160</v>
      </c>
      <c r="AD116" s="288"/>
      <c r="AE116" s="288"/>
      <c r="AF116" s="288"/>
      <c r="AG116" s="124"/>
      <c r="AH116" s="65" t="s">
        <v>226</v>
      </c>
      <c r="AJ116" s="918"/>
      <c r="AK116" s="918"/>
      <c r="AL116" s="918">
        <f t="shared" si="26"/>
        <v>8000</v>
      </c>
      <c r="AM116" s="918">
        <f t="shared" si="27"/>
        <v>2160</v>
      </c>
      <c r="AN116" s="918">
        <f t="shared" si="28"/>
        <v>0</v>
      </c>
    </row>
    <row r="117" spans="1:40" ht="24.75" customHeight="1" x14ac:dyDescent="0.2">
      <c r="A117" s="897" t="s">
        <v>2108</v>
      </c>
      <c r="B117" s="289" t="s">
        <v>739</v>
      </c>
      <c r="C117" s="613" t="s">
        <v>2109</v>
      </c>
      <c r="D117" s="919"/>
      <c r="E117" s="891">
        <f t="shared" si="29"/>
        <v>0</v>
      </c>
      <c r="F117" s="891">
        <f t="shared" si="29"/>
        <v>2014220</v>
      </c>
      <c r="G117" s="891">
        <f t="shared" si="23"/>
        <v>2014220</v>
      </c>
      <c r="H117" s="112"/>
      <c r="I117" s="112"/>
      <c r="J117" s="112"/>
      <c r="K117" s="112"/>
      <c r="L117" s="112">
        <v>0</v>
      </c>
      <c r="M117" s="112"/>
      <c r="N117" s="112"/>
      <c r="O117" s="112"/>
      <c r="P117" s="63"/>
      <c r="Q117" s="892"/>
      <c r="R117" s="112">
        <v>1586000</v>
      </c>
      <c r="S117" s="112">
        <v>1586000</v>
      </c>
      <c r="T117" s="112"/>
      <c r="U117" s="112"/>
      <c r="V117" s="112"/>
      <c r="W117" s="112"/>
      <c r="X117" s="112"/>
      <c r="Y117" s="112"/>
      <c r="Z117" s="112"/>
      <c r="AA117" s="112">
        <v>428220</v>
      </c>
      <c r="AB117" s="63">
        <v>428220</v>
      </c>
      <c r="AC117" s="976">
        <f t="shared" si="25"/>
        <v>2014220</v>
      </c>
      <c r="AD117" s="288"/>
      <c r="AE117" s="288"/>
      <c r="AF117" s="288"/>
      <c r="AG117" s="124"/>
      <c r="AH117" s="65" t="s">
        <v>226</v>
      </c>
      <c r="AJ117" s="918"/>
      <c r="AK117" s="918"/>
      <c r="AL117" s="918">
        <f t="shared" si="26"/>
        <v>1586000</v>
      </c>
      <c r="AM117" s="918">
        <f t="shared" si="27"/>
        <v>428220</v>
      </c>
      <c r="AN117" s="918">
        <f t="shared" si="28"/>
        <v>0</v>
      </c>
    </row>
    <row r="118" spans="1:40" ht="24.75" customHeight="1" x14ac:dyDescent="0.2">
      <c r="A118" s="889" t="s">
        <v>939</v>
      </c>
      <c r="B118" s="289" t="s">
        <v>739</v>
      </c>
      <c r="C118" s="613" t="s">
        <v>1229</v>
      </c>
      <c r="D118" s="919"/>
      <c r="E118" s="891">
        <f t="shared" si="22"/>
        <v>1200000</v>
      </c>
      <c r="F118" s="891">
        <f t="shared" si="23"/>
        <v>1200000</v>
      </c>
      <c r="G118" s="891">
        <f t="shared" si="23"/>
        <v>0</v>
      </c>
      <c r="H118" s="112"/>
      <c r="I118" s="112"/>
      <c r="J118" s="112"/>
      <c r="K118" s="112">
        <v>944882</v>
      </c>
      <c r="L118" s="112">
        <v>944882</v>
      </c>
      <c r="M118" s="112"/>
      <c r="N118" s="112"/>
      <c r="O118" s="112"/>
      <c r="P118" s="63"/>
      <c r="Q118" s="892"/>
      <c r="R118" s="112"/>
      <c r="S118" s="112"/>
      <c r="T118" s="112"/>
      <c r="U118" s="112"/>
      <c r="V118" s="112"/>
      <c r="W118" s="112"/>
      <c r="X118" s="112"/>
      <c r="Y118" s="112"/>
      <c r="Z118" s="112">
        <v>255118</v>
      </c>
      <c r="AA118" s="112">
        <v>255118</v>
      </c>
      <c r="AB118" s="63"/>
      <c r="AC118" s="976">
        <f t="shared" si="25"/>
        <v>1200000</v>
      </c>
      <c r="AD118" s="288"/>
      <c r="AE118" s="288"/>
      <c r="AF118" s="288"/>
      <c r="AG118" s="288"/>
      <c r="AH118" s="65" t="s">
        <v>226</v>
      </c>
      <c r="AJ118" s="918"/>
      <c r="AK118" s="918"/>
      <c r="AL118" s="918">
        <f t="shared" si="26"/>
        <v>0</v>
      </c>
      <c r="AM118" s="918">
        <f t="shared" si="27"/>
        <v>0</v>
      </c>
      <c r="AN118" s="918">
        <f t="shared" si="28"/>
        <v>0</v>
      </c>
    </row>
    <row r="119" spans="1:40" ht="24.75" customHeight="1" x14ac:dyDescent="0.2">
      <c r="A119" s="889" t="s">
        <v>2110</v>
      </c>
      <c r="B119" s="289" t="s">
        <v>164</v>
      </c>
      <c r="C119" s="613" t="s">
        <v>2111</v>
      </c>
      <c r="D119" s="919"/>
      <c r="E119" s="891">
        <f t="shared" ref="E119:F121" si="30">+H119+K119+N119+Q119+T119+W119+Z119</f>
        <v>0</v>
      </c>
      <c r="F119" s="891">
        <f t="shared" si="30"/>
        <v>772160</v>
      </c>
      <c r="G119" s="891">
        <f t="shared" si="23"/>
        <v>0</v>
      </c>
      <c r="H119" s="112"/>
      <c r="I119" s="112"/>
      <c r="J119" s="112"/>
      <c r="K119" s="112"/>
      <c r="L119" s="112">
        <v>608000</v>
      </c>
      <c r="M119" s="112"/>
      <c r="N119" s="112"/>
      <c r="O119" s="112"/>
      <c r="P119" s="63"/>
      <c r="Q119" s="892"/>
      <c r="R119" s="112"/>
      <c r="S119" s="112"/>
      <c r="T119" s="112"/>
      <c r="U119" s="112"/>
      <c r="V119" s="112"/>
      <c r="W119" s="112"/>
      <c r="X119" s="112"/>
      <c r="Y119" s="112"/>
      <c r="Z119" s="112"/>
      <c r="AA119" s="112">
        <v>164160</v>
      </c>
      <c r="AB119" s="63"/>
      <c r="AC119" s="976">
        <f t="shared" si="25"/>
        <v>772160</v>
      </c>
      <c r="AD119" s="288"/>
      <c r="AE119" s="288"/>
      <c r="AF119" s="288"/>
      <c r="AG119" s="288"/>
      <c r="AH119" s="65" t="s">
        <v>225</v>
      </c>
      <c r="AJ119" s="918"/>
      <c r="AK119" s="918"/>
      <c r="AL119" s="918">
        <f t="shared" si="26"/>
        <v>0</v>
      </c>
      <c r="AM119" s="918">
        <f t="shared" si="27"/>
        <v>0</v>
      </c>
      <c r="AN119" s="918">
        <f t="shared" si="28"/>
        <v>0</v>
      </c>
    </row>
    <row r="120" spans="1:40" ht="24.75" customHeight="1" x14ac:dyDescent="0.2">
      <c r="A120" s="889" t="s">
        <v>2110</v>
      </c>
      <c r="B120" s="289" t="s">
        <v>164</v>
      </c>
      <c r="C120" s="613" t="s">
        <v>2112</v>
      </c>
      <c r="D120" s="919"/>
      <c r="E120" s="891">
        <f t="shared" si="30"/>
        <v>0</v>
      </c>
      <c r="F120" s="891">
        <f t="shared" si="30"/>
        <v>75311</v>
      </c>
      <c r="G120" s="891">
        <f t="shared" si="23"/>
        <v>75311</v>
      </c>
      <c r="H120" s="112"/>
      <c r="I120" s="112"/>
      <c r="J120" s="112"/>
      <c r="K120" s="112"/>
      <c r="L120" s="112"/>
      <c r="M120" s="112"/>
      <c r="N120" s="112"/>
      <c r="O120" s="112"/>
      <c r="P120" s="63"/>
      <c r="Q120" s="892"/>
      <c r="R120" s="112">
        <v>59300</v>
      </c>
      <c r="S120" s="112">
        <v>59300</v>
      </c>
      <c r="T120" s="112"/>
      <c r="U120" s="112"/>
      <c r="V120" s="112"/>
      <c r="W120" s="112"/>
      <c r="X120" s="112"/>
      <c r="Y120" s="112"/>
      <c r="Z120" s="112"/>
      <c r="AA120" s="112">
        <v>16011</v>
      </c>
      <c r="AB120" s="63">
        <v>16011</v>
      </c>
      <c r="AC120" s="976">
        <f t="shared" si="25"/>
        <v>75311</v>
      </c>
      <c r="AD120" s="288"/>
      <c r="AE120" s="288"/>
      <c r="AF120" s="288"/>
      <c r="AG120" s="288"/>
      <c r="AH120" s="65" t="s">
        <v>225</v>
      </c>
      <c r="AJ120" s="918"/>
      <c r="AK120" s="918"/>
      <c r="AL120" s="918">
        <f t="shared" si="26"/>
        <v>59300</v>
      </c>
      <c r="AM120" s="918">
        <f t="shared" si="27"/>
        <v>16011</v>
      </c>
      <c r="AN120" s="918">
        <f t="shared" si="28"/>
        <v>0</v>
      </c>
    </row>
    <row r="121" spans="1:40" ht="24.75" customHeight="1" x14ac:dyDescent="0.2">
      <c r="A121" s="889" t="s">
        <v>2110</v>
      </c>
      <c r="B121" s="289" t="s">
        <v>164</v>
      </c>
      <c r="C121" s="613" t="s">
        <v>2175</v>
      </c>
      <c r="D121" s="919"/>
      <c r="E121" s="891">
        <f t="shared" si="30"/>
        <v>0</v>
      </c>
      <c r="F121" s="891">
        <f t="shared" si="30"/>
        <v>28000000</v>
      </c>
      <c r="G121" s="891">
        <f>+J121+M121+P121+S121+V121+Y121+AB121</f>
        <v>0</v>
      </c>
      <c r="H121" s="112"/>
      <c r="I121" s="112"/>
      <c r="J121" s="112"/>
      <c r="K121" s="112"/>
      <c r="L121" s="112">
        <v>22047244</v>
      </c>
      <c r="M121" s="112"/>
      <c r="N121" s="112"/>
      <c r="O121" s="112"/>
      <c r="P121" s="63"/>
      <c r="Q121" s="892"/>
      <c r="R121" s="112"/>
      <c r="S121" s="112"/>
      <c r="T121" s="112"/>
      <c r="U121" s="112"/>
      <c r="V121" s="112"/>
      <c r="W121" s="112"/>
      <c r="X121" s="112"/>
      <c r="Y121" s="112"/>
      <c r="Z121" s="112"/>
      <c r="AA121" s="112">
        <v>5952756</v>
      </c>
      <c r="AB121" s="63"/>
      <c r="AC121" s="976">
        <f t="shared" si="25"/>
        <v>28000000</v>
      </c>
      <c r="AD121" s="288"/>
      <c r="AE121" s="288"/>
      <c r="AF121" s="288"/>
      <c r="AG121" s="288"/>
      <c r="AH121" s="65"/>
      <c r="AJ121" s="918"/>
      <c r="AK121" s="918"/>
      <c r="AL121" s="918"/>
      <c r="AM121" s="918"/>
      <c r="AN121" s="918"/>
    </row>
    <row r="122" spans="1:40" ht="30.75" customHeight="1" x14ac:dyDescent="0.2">
      <c r="A122" s="889" t="s">
        <v>1391</v>
      </c>
      <c r="B122" s="289" t="s">
        <v>512</v>
      </c>
      <c r="C122" s="613" t="s">
        <v>1392</v>
      </c>
      <c r="D122" s="919"/>
      <c r="E122" s="891">
        <f t="shared" si="22"/>
        <v>0</v>
      </c>
      <c r="F122" s="891">
        <f t="shared" si="23"/>
        <v>2870200</v>
      </c>
      <c r="G122" s="891">
        <f t="shared" si="23"/>
        <v>2870200</v>
      </c>
      <c r="H122" s="112"/>
      <c r="I122" s="112"/>
      <c r="J122" s="112"/>
      <c r="K122" s="112"/>
      <c r="L122" s="112">
        <v>2260000</v>
      </c>
      <c r="M122" s="112">
        <v>2260000</v>
      </c>
      <c r="N122" s="112"/>
      <c r="O122" s="112"/>
      <c r="P122" s="63"/>
      <c r="Q122" s="892"/>
      <c r="R122" s="112"/>
      <c r="S122" s="112"/>
      <c r="T122" s="112"/>
      <c r="U122" s="112"/>
      <c r="V122" s="112"/>
      <c r="W122" s="112"/>
      <c r="X122" s="112"/>
      <c r="Y122" s="112"/>
      <c r="Z122" s="112"/>
      <c r="AA122" s="112">
        <v>610200</v>
      </c>
      <c r="AB122" s="63">
        <v>610200</v>
      </c>
      <c r="AC122" s="976">
        <f t="shared" si="25"/>
        <v>2870200</v>
      </c>
      <c r="AD122" s="288"/>
      <c r="AE122" s="288"/>
      <c r="AF122" s="288"/>
      <c r="AG122" s="288"/>
      <c r="AH122" s="65" t="s">
        <v>225</v>
      </c>
      <c r="AJ122" s="918"/>
      <c r="AK122" s="918"/>
      <c r="AL122" s="918">
        <f t="shared" si="26"/>
        <v>2260000</v>
      </c>
      <c r="AM122" s="918">
        <f t="shared" si="27"/>
        <v>610200</v>
      </c>
      <c r="AN122" s="918">
        <f t="shared" si="28"/>
        <v>0</v>
      </c>
    </row>
    <row r="123" spans="1:40" ht="30.75" customHeight="1" x14ac:dyDescent="0.2">
      <c r="A123" s="889" t="s">
        <v>1391</v>
      </c>
      <c r="B123" s="289" t="s">
        <v>512</v>
      </c>
      <c r="C123" s="613" t="s">
        <v>1431</v>
      </c>
      <c r="D123" s="919"/>
      <c r="E123" s="891">
        <f t="shared" si="22"/>
        <v>0</v>
      </c>
      <c r="F123" s="891">
        <f t="shared" si="23"/>
        <v>1938655</v>
      </c>
      <c r="G123" s="891">
        <f t="shared" si="23"/>
        <v>1938655</v>
      </c>
      <c r="H123" s="112"/>
      <c r="I123" s="112"/>
      <c r="J123" s="112"/>
      <c r="K123" s="112"/>
      <c r="L123" s="112">
        <v>1526500</v>
      </c>
      <c r="M123" s="112">
        <v>1526500</v>
      </c>
      <c r="N123" s="112"/>
      <c r="O123" s="112"/>
      <c r="P123" s="63"/>
      <c r="Q123" s="892"/>
      <c r="R123" s="112"/>
      <c r="S123" s="112"/>
      <c r="T123" s="112"/>
      <c r="U123" s="112"/>
      <c r="V123" s="112"/>
      <c r="W123" s="112"/>
      <c r="X123" s="112"/>
      <c r="Y123" s="112"/>
      <c r="Z123" s="112"/>
      <c r="AA123" s="112">
        <v>412155</v>
      </c>
      <c r="AB123" s="63">
        <v>412155</v>
      </c>
      <c r="AC123" s="976">
        <f t="shared" si="25"/>
        <v>1938655</v>
      </c>
      <c r="AD123" s="288"/>
      <c r="AE123" s="288"/>
      <c r="AF123" s="288"/>
      <c r="AG123" s="288"/>
      <c r="AH123" s="65" t="s">
        <v>225</v>
      </c>
      <c r="AJ123" s="918"/>
      <c r="AK123" s="918"/>
      <c r="AL123" s="918">
        <f t="shared" si="26"/>
        <v>1526500</v>
      </c>
      <c r="AM123" s="918">
        <f t="shared" si="27"/>
        <v>412155</v>
      </c>
      <c r="AN123" s="918">
        <f t="shared" si="28"/>
        <v>0</v>
      </c>
    </row>
    <row r="124" spans="1:40" ht="30.75" customHeight="1" x14ac:dyDescent="0.2">
      <c r="A124" s="889" t="s">
        <v>1391</v>
      </c>
      <c r="B124" s="289" t="s">
        <v>512</v>
      </c>
      <c r="C124" s="613" t="s">
        <v>1432</v>
      </c>
      <c r="D124" s="919"/>
      <c r="E124" s="891">
        <f t="shared" si="22"/>
        <v>0</v>
      </c>
      <c r="F124" s="891">
        <f t="shared" si="23"/>
        <v>2663622</v>
      </c>
      <c r="G124" s="891">
        <f t="shared" si="23"/>
        <v>2663622</v>
      </c>
      <c r="H124" s="112"/>
      <c r="I124" s="112"/>
      <c r="J124" s="112"/>
      <c r="K124" s="112"/>
      <c r="L124" s="112">
        <v>2097340</v>
      </c>
      <c r="M124" s="112">
        <f>1427340+670000</f>
        <v>2097340</v>
      </c>
      <c r="N124" s="112"/>
      <c r="O124" s="112"/>
      <c r="P124" s="63"/>
      <c r="Q124" s="892"/>
      <c r="R124" s="112"/>
      <c r="S124" s="112"/>
      <c r="T124" s="112"/>
      <c r="U124" s="112"/>
      <c r="V124" s="112"/>
      <c r="W124" s="112"/>
      <c r="X124" s="112"/>
      <c r="Y124" s="112"/>
      <c r="Z124" s="112"/>
      <c r="AA124" s="112">
        <f>385382+180900</f>
        <v>566282</v>
      </c>
      <c r="AB124" s="63">
        <f>385382+180900</f>
        <v>566282</v>
      </c>
      <c r="AC124" s="976">
        <f t="shared" si="25"/>
        <v>2663622</v>
      </c>
      <c r="AD124" s="288"/>
      <c r="AE124" s="288"/>
      <c r="AF124" s="288"/>
      <c r="AG124" s="288"/>
      <c r="AH124" s="65" t="s">
        <v>225</v>
      </c>
      <c r="AJ124" s="918"/>
      <c r="AK124" s="918"/>
      <c r="AL124" s="918">
        <f t="shared" si="26"/>
        <v>2097340.1574803148</v>
      </c>
      <c r="AM124" s="918">
        <f t="shared" si="27"/>
        <v>566281.84251968516</v>
      </c>
      <c r="AN124" s="918">
        <f t="shared" si="28"/>
        <v>0.15748031483963132</v>
      </c>
    </row>
    <row r="125" spans="1:40" ht="28.5" customHeight="1" x14ac:dyDescent="0.2">
      <c r="A125" s="889" t="s">
        <v>644</v>
      </c>
      <c r="B125" s="289" t="s">
        <v>526</v>
      </c>
      <c r="C125" s="613" t="s">
        <v>1037</v>
      </c>
      <c r="D125" s="919"/>
      <c r="E125" s="891">
        <f t="shared" si="22"/>
        <v>228600</v>
      </c>
      <c r="F125" s="891">
        <f t="shared" si="23"/>
        <v>228600</v>
      </c>
      <c r="G125" s="891">
        <f t="shared" si="23"/>
        <v>228600</v>
      </c>
      <c r="H125" s="613"/>
      <c r="I125" s="613"/>
      <c r="J125" s="613"/>
      <c r="K125" s="112">
        <v>180000</v>
      </c>
      <c r="L125" s="112">
        <v>180000</v>
      </c>
      <c r="M125" s="112">
        <v>180000</v>
      </c>
      <c r="N125" s="613"/>
      <c r="O125" s="613"/>
      <c r="P125" s="952"/>
      <c r="Q125" s="953"/>
      <c r="R125" s="613"/>
      <c r="S125" s="613"/>
      <c r="T125" s="613"/>
      <c r="U125" s="613"/>
      <c r="V125" s="613"/>
      <c r="W125" s="613"/>
      <c r="X125" s="613"/>
      <c r="Y125" s="613"/>
      <c r="Z125" s="112">
        <v>48600</v>
      </c>
      <c r="AA125" s="112">
        <v>48600</v>
      </c>
      <c r="AB125" s="63">
        <v>48600</v>
      </c>
      <c r="AC125" s="976">
        <f t="shared" si="25"/>
        <v>228600</v>
      </c>
      <c r="AD125" s="613"/>
      <c r="AE125" s="613"/>
      <c r="AF125" s="613"/>
      <c r="AG125" s="613"/>
      <c r="AH125" s="65" t="s">
        <v>225</v>
      </c>
      <c r="AJ125" s="918"/>
      <c r="AK125" s="918"/>
      <c r="AL125" s="918">
        <f t="shared" si="26"/>
        <v>180000</v>
      </c>
      <c r="AM125" s="918">
        <f t="shared" si="27"/>
        <v>48600</v>
      </c>
      <c r="AN125" s="918">
        <f t="shared" si="28"/>
        <v>0</v>
      </c>
    </row>
    <row r="126" spans="1:40" ht="28.5" customHeight="1" x14ac:dyDescent="0.2">
      <c r="A126" s="893" t="s">
        <v>644</v>
      </c>
      <c r="B126" s="894" t="s">
        <v>526</v>
      </c>
      <c r="C126" s="608" t="s">
        <v>2176</v>
      </c>
      <c r="D126" s="919"/>
      <c r="E126" s="891">
        <f>+H126+K126+N126+Q126+T126+W126+Z126</f>
        <v>0</v>
      </c>
      <c r="F126" s="891">
        <f>+I126+L126+O126+R126+U126+X126+AA126</f>
        <v>561965</v>
      </c>
      <c r="G126" s="891">
        <f>+J126+M126+P126+S126+V126+Y126+AB126</f>
        <v>561965</v>
      </c>
      <c r="H126" s="613"/>
      <c r="I126" s="613"/>
      <c r="J126" s="613"/>
      <c r="K126" s="112"/>
      <c r="L126" s="112">
        <v>442492</v>
      </c>
      <c r="M126" s="112">
        <v>442492</v>
      </c>
      <c r="N126" s="613"/>
      <c r="O126" s="613"/>
      <c r="P126" s="952"/>
      <c r="Q126" s="953"/>
      <c r="R126" s="613"/>
      <c r="S126" s="613"/>
      <c r="T126" s="613"/>
      <c r="U126" s="613"/>
      <c r="V126" s="613"/>
      <c r="W126" s="613"/>
      <c r="X126" s="613"/>
      <c r="Y126" s="613"/>
      <c r="Z126" s="112"/>
      <c r="AA126" s="112">
        <v>119473</v>
      </c>
      <c r="AB126" s="63">
        <v>119473</v>
      </c>
      <c r="AC126" s="976">
        <f t="shared" si="25"/>
        <v>561965</v>
      </c>
      <c r="AD126" s="613"/>
      <c r="AE126" s="613"/>
      <c r="AF126" s="613"/>
      <c r="AG126" s="613"/>
      <c r="AH126" s="65"/>
      <c r="AJ126" s="918"/>
      <c r="AK126" s="918"/>
      <c r="AL126" s="918"/>
      <c r="AM126" s="918"/>
      <c r="AN126" s="918"/>
    </row>
    <row r="127" spans="1:40" ht="28.5" customHeight="1" x14ac:dyDescent="0.2">
      <c r="A127" s="889" t="s">
        <v>1004</v>
      </c>
      <c r="B127" s="289" t="s">
        <v>968</v>
      </c>
      <c r="C127" s="613" t="s">
        <v>1466</v>
      </c>
      <c r="D127" s="919"/>
      <c r="E127" s="891">
        <f t="shared" si="22"/>
        <v>0</v>
      </c>
      <c r="F127" s="891">
        <f t="shared" si="23"/>
        <v>118958</v>
      </c>
      <c r="G127" s="891">
        <f t="shared" si="23"/>
        <v>118958</v>
      </c>
      <c r="H127" s="613"/>
      <c r="I127" s="613"/>
      <c r="J127" s="613"/>
      <c r="K127" s="112"/>
      <c r="L127" s="112">
        <f>87332+6336</f>
        <v>93668</v>
      </c>
      <c r="M127" s="112">
        <f>5350+6336+6313+75669</f>
        <v>93668</v>
      </c>
      <c r="N127" s="613"/>
      <c r="O127" s="613"/>
      <c r="P127" s="952"/>
      <c r="Q127" s="953"/>
      <c r="R127" s="613"/>
      <c r="S127" s="613"/>
      <c r="T127" s="613"/>
      <c r="U127" s="613"/>
      <c r="V127" s="613"/>
      <c r="W127" s="613"/>
      <c r="X127" s="613"/>
      <c r="Y127" s="613"/>
      <c r="Z127" s="112"/>
      <c r="AA127" s="112">
        <f>23579+1711</f>
        <v>25290</v>
      </c>
      <c r="AB127" s="63">
        <f>1445+1704+1711+20430</f>
        <v>25290</v>
      </c>
      <c r="AC127" s="976">
        <f t="shared" si="25"/>
        <v>118958</v>
      </c>
      <c r="AD127" s="613"/>
      <c r="AE127" s="613"/>
      <c r="AF127" s="613"/>
      <c r="AG127" s="613"/>
      <c r="AH127" s="65" t="s">
        <v>225</v>
      </c>
      <c r="AJ127" s="918"/>
      <c r="AK127" s="918"/>
      <c r="AL127" s="918">
        <f t="shared" si="26"/>
        <v>93667.716535433065</v>
      </c>
      <c r="AM127" s="918">
        <f t="shared" si="27"/>
        <v>25290.283464566935</v>
      </c>
      <c r="AN127" s="918">
        <f t="shared" si="28"/>
        <v>-0.28346456693543587</v>
      </c>
    </row>
    <row r="128" spans="1:40" ht="28.5" customHeight="1" x14ac:dyDescent="0.2">
      <c r="A128" s="889" t="s">
        <v>1004</v>
      </c>
      <c r="B128" s="289" t="s">
        <v>968</v>
      </c>
      <c r="C128" s="613" t="s">
        <v>1516</v>
      </c>
      <c r="D128" s="919"/>
      <c r="E128" s="891">
        <f t="shared" si="22"/>
        <v>0</v>
      </c>
      <c r="F128" s="891">
        <f t="shared" si="23"/>
        <v>138113</v>
      </c>
      <c r="G128" s="891">
        <f t="shared" si="23"/>
        <v>138113</v>
      </c>
      <c r="H128" s="613"/>
      <c r="I128" s="613"/>
      <c r="J128" s="613"/>
      <c r="K128" s="112"/>
      <c r="L128" s="112">
        <v>108750</v>
      </c>
      <c r="M128" s="112">
        <v>108750</v>
      </c>
      <c r="N128" s="613"/>
      <c r="O128" s="613"/>
      <c r="P128" s="952"/>
      <c r="Q128" s="953"/>
      <c r="R128" s="613"/>
      <c r="S128" s="613"/>
      <c r="T128" s="613"/>
      <c r="U128" s="613"/>
      <c r="V128" s="613"/>
      <c r="W128" s="613"/>
      <c r="X128" s="613"/>
      <c r="Y128" s="613"/>
      <c r="Z128" s="112"/>
      <c r="AA128" s="112">
        <v>29363</v>
      </c>
      <c r="AB128" s="63">
        <v>29363</v>
      </c>
      <c r="AC128" s="976">
        <f t="shared" si="25"/>
        <v>138113</v>
      </c>
      <c r="AD128" s="613"/>
      <c r="AE128" s="613"/>
      <c r="AF128" s="613"/>
      <c r="AG128" s="613"/>
      <c r="AH128" s="65" t="s">
        <v>225</v>
      </c>
      <c r="AJ128" s="918"/>
      <c r="AK128" s="918"/>
      <c r="AL128" s="918">
        <f t="shared" si="26"/>
        <v>108750.3937007874</v>
      </c>
      <c r="AM128" s="918">
        <f t="shared" si="27"/>
        <v>29362.606299212595</v>
      </c>
      <c r="AN128" s="918">
        <f t="shared" si="28"/>
        <v>0.39370078740466852</v>
      </c>
    </row>
    <row r="129" spans="1:40" ht="28.5" customHeight="1" x14ac:dyDescent="0.2">
      <c r="A129" s="954" t="s">
        <v>1004</v>
      </c>
      <c r="B129" s="955" t="s">
        <v>968</v>
      </c>
      <c r="C129" s="956" t="s">
        <v>2177</v>
      </c>
      <c r="D129" s="919"/>
      <c r="E129" s="891">
        <f>+H129+K129+N129+Q129+T129+W129+Z129</f>
        <v>0</v>
      </c>
      <c r="F129" s="891">
        <f>+I129+L129+O129+R129+U129+X129+AA129</f>
        <v>1652397</v>
      </c>
      <c r="G129" s="891">
        <f t="shared" si="23"/>
        <v>1652397</v>
      </c>
      <c r="H129" s="613"/>
      <c r="I129" s="613"/>
      <c r="J129" s="613"/>
      <c r="K129" s="112"/>
      <c r="L129" s="112">
        <v>1301100</v>
      </c>
      <c r="M129" s="112">
        <f>198900+1102200</f>
        <v>1301100</v>
      </c>
      <c r="N129" s="613"/>
      <c r="O129" s="613"/>
      <c r="P129" s="952"/>
      <c r="Q129" s="953"/>
      <c r="R129" s="613"/>
      <c r="S129" s="613"/>
      <c r="T129" s="613"/>
      <c r="U129" s="613"/>
      <c r="V129" s="613"/>
      <c r="W129" s="613"/>
      <c r="X129" s="613"/>
      <c r="Y129" s="613"/>
      <c r="Z129" s="112"/>
      <c r="AA129" s="112">
        <v>351297</v>
      </c>
      <c r="AB129" s="63">
        <f>297594+53703</f>
        <v>351297</v>
      </c>
      <c r="AC129" s="976">
        <f t="shared" si="25"/>
        <v>1652397</v>
      </c>
      <c r="AD129" s="613"/>
      <c r="AE129" s="613"/>
      <c r="AF129" s="613"/>
      <c r="AG129" s="613"/>
      <c r="AH129" s="65" t="s">
        <v>225</v>
      </c>
      <c r="AJ129" s="918"/>
      <c r="AK129" s="918"/>
      <c r="AL129" s="918">
        <f t="shared" si="26"/>
        <v>1301100</v>
      </c>
      <c r="AM129" s="918">
        <f t="shared" si="27"/>
        <v>351297</v>
      </c>
      <c r="AN129" s="918">
        <f t="shared" si="28"/>
        <v>0</v>
      </c>
    </row>
    <row r="130" spans="1:40" ht="28.5" customHeight="1" x14ac:dyDescent="0.2">
      <c r="A130" s="920" t="s">
        <v>1004</v>
      </c>
      <c r="B130" s="921" t="s">
        <v>968</v>
      </c>
      <c r="C130" s="607" t="s">
        <v>2178</v>
      </c>
      <c r="D130" s="919"/>
      <c r="E130" s="891">
        <f>+H130+K130+N130+Q130+T130+W130+Z130</f>
        <v>0</v>
      </c>
      <c r="F130" s="891">
        <f>+I130+L130+O130+R130+U130+X130+AA130</f>
        <v>1121359</v>
      </c>
      <c r="G130" s="891">
        <f>+J130+M130+P130+S130+V130+Y130+AB130</f>
        <v>1121359</v>
      </c>
      <c r="H130" s="613"/>
      <c r="I130" s="613"/>
      <c r="J130" s="613"/>
      <c r="K130" s="112"/>
      <c r="L130" s="112">
        <v>882960</v>
      </c>
      <c r="M130" s="112">
        <v>882960</v>
      </c>
      <c r="N130" s="613"/>
      <c r="O130" s="613"/>
      <c r="P130" s="952"/>
      <c r="Q130" s="953"/>
      <c r="R130" s="613"/>
      <c r="S130" s="613"/>
      <c r="T130" s="613"/>
      <c r="U130" s="613"/>
      <c r="V130" s="613"/>
      <c r="W130" s="613"/>
      <c r="X130" s="613"/>
      <c r="Y130" s="613"/>
      <c r="Z130" s="112"/>
      <c r="AA130" s="112">
        <v>238399</v>
      </c>
      <c r="AB130" s="63">
        <v>238399</v>
      </c>
      <c r="AC130" s="976">
        <f t="shared" si="25"/>
        <v>1121359</v>
      </c>
      <c r="AD130" s="613"/>
      <c r="AE130" s="613"/>
      <c r="AF130" s="613"/>
      <c r="AG130" s="613"/>
      <c r="AH130" s="65"/>
      <c r="AJ130" s="918"/>
      <c r="AK130" s="918"/>
      <c r="AL130" s="918"/>
      <c r="AM130" s="918"/>
      <c r="AN130" s="918"/>
    </row>
    <row r="131" spans="1:40" ht="61.5" customHeight="1" x14ac:dyDescent="0.2">
      <c r="A131" s="897" t="s">
        <v>761</v>
      </c>
      <c r="B131" s="289" t="s">
        <v>512</v>
      </c>
      <c r="C131" s="608" t="s">
        <v>2179</v>
      </c>
      <c r="D131" s="919"/>
      <c r="E131" s="891">
        <f t="shared" si="22"/>
        <v>665896057</v>
      </c>
      <c r="F131" s="891">
        <f t="shared" si="23"/>
        <v>562836618</v>
      </c>
      <c r="G131" s="891">
        <f t="shared" si="23"/>
        <v>2901950</v>
      </c>
      <c r="H131" s="112"/>
      <c r="I131" s="112"/>
      <c r="J131" s="112"/>
      <c r="K131" s="112">
        <f>377952756+157668108-11293260</f>
        <v>524327604</v>
      </c>
      <c r="L131" s="112">
        <v>539312604</v>
      </c>
      <c r="M131" s="112">
        <v>2285000</v>
      </c>
      <c r="N131" s="112"/>
      <c r="O131" s="112"/>
      <c r="P131" s="63"/>
      <c r="Q131" s="892"/>
      <c r="R131" s="112"/>
      <c r="S131" s="112"/>
      <c r="T131" s="112"/>
      <c r="U131" s="112"/>
      <c r="V131" s="112"/>
      <c r="W131" s="112"/>
      <c r="X131" s="112"/>
      <c r="Y131" s="112"/>
      <c r="Z131" s="112">
        <f>102047244+42570389-3049180</f>
        <v>141568453</v>
      </c>
      <c r="AA131" s="112">
        <v>23524014</v>
      </c>
      <c r="AB131" s="63">
        <v>616950</v>
      </c>
      <c r="AC131" s="976">
        <f t="shared" si="25"/>
        <v>184883862</v>
      </c>
      <c r="AD131" s="288"/>
      <c r="AE131" s="124">
        <v>377952756</v>
      </c>
      <c r="AF131" s="288"/>
      <c r="AG131" s="288"/>
      <c r="AH131" s="63" t="s">
        <v>225</v>
      </c>
      <c r="AJ131" s="918"/>
      <c r="AK131" s="918"/>
      <c r="AL131" s="918">
        <f t="shared" si="26"/>
        <v>2285000</v>
      </c>
      <c r="AM131" s="918">
        <f t="shared" si="27"/>
        <v>616950</v>
      </c>
      <c r="AN131" s="918">
        <f t="shared" si="28"/>
        <v>0</v>
      </c>
    </row>
    <row r="132" spans="1:40" ht="36.75" customHeight="1" x14ac:dyDescent="0.2">
      <c r="A132" s="897" t="s">
        <v>762</v>
      </c>
      <c r="B132" s="289" t="s">
        <v>512</v>
      </c>
      <c r="C132" s="613" t="s">
        <v>905</v>
      </c>
      <c r="D132" s="919"/>
      <c r="E132" s="891">
        <f t="shared" si="22"/>
        <v>0</v>
      </c>
      <c r="F132" s="891">
        <f t="shared" si="23"/>
        <v>8475667</v>
      </c>
      <c r="G132" s="891">
        <f t="shared" si="23"/>
        <v>5824666</v>
      </c>
      <c r="H132" s="112"/>
      <c r="I132" s="112"/>
      <c r="J132" s="112"/>
      <c r="K132" s="112"/>
      <c r="L132" s="112">
        <v>6883386</v>
      </c>
      <c r="M132" s="112">
        <v>4732204</v>
      </c>
      <c r="N132" s="112"/>
      <c r="O132" s="112"/>
      <c r="P132" s="63"/>
      <c r="Q132" s="892"/>
      <c r="R132" s="112"/>
      <c r="S132" s="112"/>
      <c r="T132" s="112"/>
      <c r="U132" s="112"/>
      <c r="V132" s="112"/>
      <c r="W132" s="112"/>
      <c r="X132" s="112"/>
      <c r="Y132" s="112"/>
      <c r="Z132" s="112"/>
      <c r="AA132" s="112">
        <v>1592281</v>
      </c>
      <c r="AB132" s="63">
        <v>1092462</v>
      </c>
      <c r="AC132" s="976">
        <f t="shared" si="25"/>
        <v>8475667</v>
      </c>
      <c r="AD132" s="288"/>
      <c r="AE132" s="288"/>
      <c r="AF132" s="288"/>
      <c r="AG132" s="288"/>
      <c r="AH132" s="63" t="s">
        <v>225</v>
      </c>
      <c r="AJ132" s="918"/>
      <c r="AK132" s="918"/>
      <c r="AL132" s="918">
        <f t="shared" si="26"/>
        <v>4586351.1811023625</v>
      </c>
      <c r="AM132" s="918">
        <f t="shared" si="27"/>
        <v>1238314.8188976375</v>
      </c>
      <c r="AN132" s="918">
        <f t="shared" si="28"/>
        <v>-145852.81889763754</v>
      </c>
    </row>
    <row r="133" spans="1:40" ht="41.25" customHeight="1" x14ac:dyDescent="0.2">
      <c r="A133" s="897" t="s">
        <v>924</v>
      </c>
      <c r="B133" s="289" t="s">
        <v>739</v>
      </c>
      <c r="C133" s="613" t="s">
        <v>1342</v>
      </c>
      <c r="D133" s="919"/>
      <c r="E133" s="891">
        <f t="shared" si="22"/>
        <v>497685262</v>
      </c>
      <c r="F133" s="891">
        <f t="shared" si="23"/>
        <v>387941151</v>
      </c>
      <c r="G133" s="891">
        <f t="shared" si="23"/>
        <v>322088092</v>
      </c>
      <c r="H133" s="112"/>
      <c r="I133" s="112"/>
      <c r="J133" s="112"/>
      <c r="K133" s="112">
        <f>128104452+3937008+259836699</f>
        <v>391878159</v>
      </c>
      <c r="L133" s="112">
        <v>368652989</v>
      </c>
      <c r="M133" s="112">
        <v>303536764</v>
      </c>
      <c r="N133" s="112"/>
      <c r="O133" s="112"/>
      <c r="P133" s="63"/>
      <c r="Q133" s="892"/>
      <c r="R133" s="112">
        <v>19288162</v>
      </c>
      <c r="S133" s="112">
        <v>18551328</v>
      </c>
      <c r="T133" s="112"/>
      <c r="U133" s="112"/>
      <c r="V133" s="112"/>
      <c r="W133" s="112"/>
      <c r="X133" s="112"/>
      <c r="Y133" s="112"/>
      <c r="Z133" s="112">
        <f>34588202+1062992+70155909</f>
        <v>105807103</v>
      </c>
      <c r="AA133" s="112">
        <v>0</v>
      </c>
      <c r="AB133" s="63"/>
      <c r="AC133" s="976">
        <f t="shared" si="25"/>
        <v>162692654</v>
      </c>
      <c r="AD133" s="288"/>
      <c r="AE133" s="124">
        <v>225248497</v>
      </c>
      <c r="AF133" s="288"/>
      <c r="AG133" s="288"/>
      <c r="AH133" s="65" t="s">
        <v>226</v>
      </c>
      <c r="AJ133" s="918"/>
      <c r="AK133" s="918"/>
      <c r="AL133" s="918">
        <f t="shared" si="26"/>
        <v>253612670.86614174</v>
      </c>
      <c r="AM133" s="918">
        <f t="shared" si="27"/>
        <v>68475421.133858263</v>
      </c>
      <c r="AN133" s="918">
        <f t="shared" si="28"/>
        <v>-68475421.133858263</v>
      </c>
    </row>
    <row r="134" spans="1:40" ht="33.75" customHeight="1" x14ac:dyDescent="0.2">
      <c r="A134" s="897" t="s">
        <v>1210</v>
      </c>
      <c r="B134" s="289" t="s">
        <v>739</v>
      </c>
      <c r="C134" s="613" t="s">
        <v>2180</v>
      </c>
      <c r="D134" s="919"/>
      <c r="E134" s="891">
        <f t="shared" si="22"/>
        <v>0</v>
      </c>
      <c r="F134" s="891">
        <f t="shared" si="23"/>
        <v>17529027</v>
      </c>
      <c r="G134" s="891">
        <f t="shared" si="23"/>
        <v>16195527</v>
      </c>
      <c r="H134" s="112"/>
      <c r="I134" s="112"/>
      <c r="J134" s="112"/>
      <c r="K134" s="112"/>
      <c r="L134" s="112">
        <v>10640603</v>
      </c>
      <c r="M134" s="112">
        <v>9590603</v>
      </c>
      <c r="N134" s="112"/>
      <c r="O134" s="112"/>
      <c r="P134" s="63"/>
      <c r="Q134" s="892"/>
      <c r="R134" s="112">
        <v>3161780</v>
      </c>
      <c r="S134" s="112">
        <f>3111000+50780</f>
        <v>3161780</v>
      </c>
      <c r="T134" s="112"/>
      <c r="U134" s="112"/>
      <c r="V134" s="112"/>
      <c r="W134" s="112"/>
      <c r="X134" s="112"/>
      <c r="Y134" s="112"/>
      <c r="Z134" s="112"/>
      <c r="AA134" s="112">
        <v>3726644</v>
      </c>
      <c r="AB134" s="63">
        <f>2106000+352836+61320+69307+839970+13711</f>
        <v>3443144</v>
      </c>
      <c r="AC134" s="976">
        <f t="shared" si="25"/>
        <v>17529027</v>
      </c>
      <c r="AD134" s="288"/>
      <c r="AE134" s="124"/>
      <c r="AF134" s="288"/>
      <c r="AG134" s="288"/>
      <c r="AH134" s="65" t="s">
        <v>226</v>
      </c>
      <c r="AJ134" s="918"/>
      <c r="AK134" s="918"/>
      <c r="AL134" s="918">
        <f t="shared" si="26"/>
        <v>12752383.464566929</v>
      </c>
      <c r="AM134" s="918">
        <f t="shared" si="27"/>
        <v>3443143.5354330707</v>
      </c>
      <c r="AN134" s="918">
        <f t="shared" si="28"/>
        <v>0.46456692926585674</v>
      </c>
    </row>
    <row r="135" spans="1:40" ht="29.25" customHeight="1" x14ac:dyDescent="0.2">
      <c r="A135" s="897" t="s">
        <v>1210</v>
      </c>
      <c r="B135" s="289" t="s">
        <v>739</v>
      </c>
      <c r="C135" s="613" t="s">
        <v>2113</v>
      </c>
      <c r="D135" s="919"/>
      <c r="E135" s="891">
        <f>+H135+K135+N135+Q135+T135+W135+Z135</f>
        <v>0</v>
      </c>
      <c r="F135" s="891">
        <f>+I135+L135+O135+R135+U135+X135+AA135</f>
        <v>5000000</v>
      </c>
      <c r="G135" s="891">
        <f t="shared" si="23"/>
        <v>4945380</v>
      </c>
      <c r="H135" s="112"/>
      <c r="I135" s="112"/>
      <c r="J135" s="112"/>
      <c r="K135" s="112"/>
      <c r="L135" s="112"/>
      <c r="M135" s="112"/>
      <c r="N135" s="112"/>
      <c r="O135" s="112"/>
      <c r="P135" s="63"/>
      <c r="Q135" s="892"/>
      <c r="R135" s="112">
        <v>3937008</v>
      </c>
      <c r="S135" s="112">
        <v>3894000</v>
      </c>
      <c r="T135" s="112"/>
      <c r="U135" s="112"/>
      <c r="V135" s="112"/>
      <c r="W135" s="112"/>
      <c r="X135" s="112"/>
      <c r="Y135" s="112"/>
      <c r="Z135" s="112"/>
      <c r="AA135" s="112">
        <v>1062992</v>
      </c>
      <c r="AB135" s="63">
        <f>1051380</f>
        <v>1051380</v>
      </c>
      <c r="AC135" s="976">
        <f t="shared" si="25"/>
        <v>5000000</v>
      </c>
      <c r="AD135" s="288"/>
      <c r="AE135" s="124"/>
      <c r="AF135" s="288"/>
      <c r="AG135" s="288"/>
      <c r="AH135" s="65" t="s">
        <v>226</v>
      </c>
      <c r="AJ135" s="918"/>
      <c r="AK135" s="918"/>
      <c r="AL135" s="918">
        <f t="shared" si="26"/>
        <v>3894000</v>
      </c>
      <c r="AM135" s="918">
        <f t="shared" si="27"/>
        <v>1051380</v>
      </c>
      <c r="AN135" s="918">
        <f t="shared" si="28"/>
        <v>0</v>
      </c>
    </row>
    <row r="136" spans="1:40" ht="27.75" customHeight="1" x14ac:dyDescent="0.2">
      <c r="A136" s="897" t="s">
        <v>955</v>
      </c>
      <c r="B136" s="289" t="s">
        <v>968</v>
      </c>
      <c r="C136" s="613" t="s">
        <v>956</v>
      </c>
      <c r="D136" s="919"/>
      <c r="E136" s="891">
        <f t="shared" si="22"/>
        <v>9000000</v>
      </c>
      <c r="F136" s="891">
        <f t="shared" si="23"/>
        <v>5000000</v>
      </c>
      <c r="G136" s="891">
        <f t="shared" si="23"/>
        <v>0</v>
      </c>
      <c r="H136" s="112"/>
      <c r="I136" s="112"/>
      <c r="J136" s="112"/>
      <c r="K136" s="112">
        <v>7086614</v>
      </c>
      <c r="L136" s="112">
        <f>7086614-4000000</f>
        <v>3086614</v>
      </c>
      <c r="M136" s="112"/>
      <c r="N136" s="112"/>
      <c r="O136" s="112"/>
      <c r="P136" s="63"/>
      <c r="Q136" s="892"/>
      <c r="R136" s="112"/>
      <c r="S136" s="112"/>
      <c r="T136" s="112"/>
      <c r="U136" s="112"/>
      <c r="V136" s="112"/>
      <c r="W136" s="112"/>
      <c r="X136" s="112"/>
      <c r="Y136" s="112"/>
      <c r="Z136" s="112">
        <v>1913386</v>
      </c>
      <c r="AA136" s="112">
        <v>1913386</v>
      </c>
      <c r="AB136" s="63"/>
      <c r="AC136" s="976">
        <f t="shared" si="25"/>
        <v>5000000</v>
      </c>
      <c r="AD136" s="288"/>
      <c r="AE136" s="288"/>
      <c r="AF136" s="288"/>
      <c r="AG136" s="288"/>
      <c r="AH136" s="65" t="s">
        <v>225</v>
      </c>
      <c r="AJ136" s="918"/>
      <c r="AK136" s="918"/>
      <c r="AL136" s="918">
        <f t="shared" si="26"/>
        <v>0</v>
      </c>
      <c r="AM136" s="918">
        <f t="shared" si="27"/>
        <v>0</v>
      </c>
      <c r="AN136" s="918">
        <f t="shared" si="28"/>
        <v>0</v>
      </c>
    </row>
    <row r="137" spans="1:40" ht="29.25" customHeight="1" x14ac:dyDescent="0.2">
      <c r="A137" s="897" t="s">
        <v>969</v>
      </c>
      <c r="B137" s="289" t="s">
        <v>739</v>
      </c>
      <c r="C137" s="613" t="s">
        <v>2181</v>
      </c>
      <c r="D137" s="919"/>
      <c r="E137" s="891">
        <f t="shared" si="22"/>
        <v>43997512</v>
      </c>
      <c r="F137" s="891">
        <f t="shared" si="23"/>
        <v>48997508</v>
      </c>
      <c r="G137" s="891">
        <f t="shared" si="23"/>
        <v>48997508</v>
      </c>
      <c r="H137" s="112"/>
      <c r="I137" s="112"/>
      <c r="J137" s="112"/>
      <c r="K137" s="112">
        <v>34643710</v>
      </c>
      <c r="L137" s="112">
        <v>37682075</v>
      </c>
      <c r="M137" s="112">
        <v>37682075</v>
      </c>
      <c r="N137" s="112"/>
      <c r="O137" s="112"/>
      <c r="P137" s="63"/>
      <c r="Q137" s="892"/>
      <c r="R137" s="112">
        <v>898640</v>
      </c>
      <c r="S137" s="112">
        <v>898640</v>
      </c>
      <c r="T137" s="112"/>
      <c r="U137" s="112"/>
      <c r="V137" s="112"/>
      <c r="W137" s="112"/>
      <c r="X137" s="112"/>
      <c r="Y137" s="112"/>
      <c r="Z137" s="112">
        <v>9353802</v>
      </c>
      <c r="AA137" s="112">
        <v>10416793</v>
      </c>
      <c r="AB137" s="63">
        <v>10416793</v>
      </c>
      <c r="AC137" s="976">
        <f t="shared" si="25"/>
        <v>4999996</v>
      </c>
      <c r="AD137" s="288"/>
      <c r="AE137" s="124">
        <v>43997512</v>
      </c>
      <c r="AF137" s="288"/>
      <c r="AG137" s="288"/>
      <c r="AH137" s="63" t="s">
        <v>226</v>
      </c>
      <c r="AJ137" s="918"/>
      <c r="AK137" s="918"/>
      <c r="AL137" s="918">
        <f t="shared" si="26"/>
        <v>38580714.960629918</v>
      </c>
      <c r="AM137" s="918">
        <f t="shared" si="27"/>
        <v>10416793.039370082</v>
      </c>
      <c r="AN137" s="918">
        <f t="shared" si="28"/>
        <v>-3.9370082318782806E-2</v>
      </c>
    </row>
    <row r="138" spans="1:40" ht="33" customHeight="1" x14ac:dyDescent="0.2">
      <c r="A138" s="897" t="s">
        <v>979</v>
      </c>
      <c r="B138" s="289" t="s">
        <v>739</v>
      </c>
      <c r="C138" s="613" t="s">
        <v>980</v>
      </c>
      <c r="D138" s="919"/>
      <c r="E138" s="891">
        <f t="shared" si="22"/>
        <v>5000000</v>
      </c>
      <c r="F138" s="891">
        <f t="shared" si="23"/>
        <v>500004</v>
      </c>
      <c r="G138" s="891">
        <f t="shared" si="23"/>
        <v>500000</v>
      </c>
      <c r="H138" s="112"/>
      <c r="I138" s="112"/>
      <c r="J138" s="112"/>
      <c r="K138" s="112">
        <v>3937008</v>
      </c>
      <c r="L138" s="112">
        <v>500003</v>
      </c>
      <c r="M138" s="112">
        <v>500000</v>
      </c>
      <c r="N138" s="112"/>
      <c r="O138" s="112"/>
      <c r="P138" s="63"/>
      <c r="Q138" s="892"/>
      <c r="R138" s="112"/>
      <c r="S138" s="112"/>
      <c r="T138" s="112"/>
      <c r="U138" s="112"/>
      <c r="V138" s="112"/>
      <c r="W138" s="112"/>
      <c r="X138" s="112"/>
      <c r="Y138" s="112"/>
      <c r="Z138" s="112">
        <v>1062992</v>
      </c>
      <c r="AA138" s="112">
        <v>1</v>
      </c>
      <c r="AB138" s="63">
        <v>0</v>
      </c>
      <c r="AC138" s="976">
        <f t="shared" si="25"/>
        <v>500004</v>
      </c>
      <c r="AD138" s="288"/>
      <c r="AE138" s="124"/>
      <c r="AF138" s="288"/>
      <c r="AG138" s="288"/>
      <c r="AH138" s="63" t="s">
        <v>226</v>
      </c>
      <c r="AJ138" s="918"/>
      <c r="AK138" s="918"/>
      <c r="AL138" s="918">
        <f t="shared" si="26"/>
        <v>393700.78740157478</v>
      </c>
      <c r="AM138" s="918">
        <f t="shared" si="27"/>
        <v>106299.21259842522</v>
      </c>
      <c r="AN138" s="918">
        <f t="shared" si="28"/>
        <v>-106299.21259842522</v>
      </c>
    </row>
    <row r="139" spans="1:40" ht="31.5" customHeight="1" x14ac:dyDescent="0.2">
      <c r="A139" s="897" t="s">
        <v>1224</v>
      </c>
      <c r="B139" s="289" t="s">
        <v>739</v>
      </c>
      <c r="C139" s="613" t="s">
        <v>1237</v>
      </c>
      <c r="D139" s="919"/>
      <c r="E139" s="891">
        <f t="shared" si="22"/>
        <v>0</v>
      </c>
      <c r="F139" s="891">
        <f t="shared" si="23"/>
        <v>5461000</v>
      </c>
      <c r="G139" s="891">
        <f t="shared" si="23"/>
        <v>5461000</v>
      </c>
      <c r="H139" s="112"/>
      <c r="I139" s="112"/>
      <c r="J139" s="112"/>
      <c r="K139" s="112"/>
      <c r="L139" s="112">
        <f>4300000+450000-450000</f>
        <v>4300000</v>
      </c>
      <c r="M139" s="112">
        <v>4300000</v>
      </c>
      <c r="N139" s="112"/>
      <c r="O139" s="112"/>
      <c r="P139" s="63"/>
      <c r="Q139" s="892"/>
      <c r="R139" s="112"/>
      <c r="S139" s="112"/>
      <c r="T139" s="112"/>
      <c r="U139" s="112"/>
      <c r="V139" s="112"/>
      <c r="W139" s="112"/>
      <c r="X139" s="112"/>
      <c r="Y139" s="112"/>
      <c r="Z139" s="112"/>
      <c r="AA139" s="112">
        <f>1161000+121500-121500</f>
        <v>1161000</v>
      </c>
      <c r="AB139" s="63">
        <v>1161000</v>
      </c>
      <c r="AC139" s="976">
        <f t="shared" si="25"/>
        <v>5461000</v>
      </c>
      <c r="AD139" s="288"/>
      <c r="AE139" s="124"/>
      <c r="AF139" s="288"/>
      <c r="AG139" s="288"/>
      <c r="AH139" s="63" t="s">
        <v>226</v>
      </c>
      <c r="AJ139" s="918"/>
      <c r="AK139" s="918"/>
      <c r="AL139" s="918">
        <f t="shared" si="26"/>
        <v>4300000</v>
      </c>
      <c r="AM139" s="918">
        <f t="shared" si="27"/>
        <v>1161000</v>
      </c>
      <c r="AN139" s="918">
        <f t="shared" si="28"/>
        <v>0</v>
      </c>
    </row>
    <row r="140" spans="1:40" ht="36.75" customHeight="1" x14ac:dyDescent="0.2">
      <c r="A140" s="897" t="s">
        <v>1482</v>
      </c>
      <c r="B140" s="289" t="s">
        <v>739</v>
      </c>
      <c r="C140" s="613" t="s">
        <v>1483</v>
      </c>
      <c r="D140" s="919"/>
      <c r="E140" s="891">
        <f t="shared" si="22"/>
        <v>0</v>
      </c>
      <c r="F140" s="891">
        <f t="shared" si="23"/>
        <v>80000</v>
      </c>
      <c r="G140" s="891">
        <f t="shared" si="23"/>
        <v>80000</v>
      </c>
      <c r="H140" s="112"/>
      <c r="I140" s="112"/>
      <c r="J140" s="112"/>
      <c r="K140" s="112"/>
      <c r="L140" s="112">
        <v>80000</v>
      </c>
      <c r="M140" s="112">
        <v>80000</v>
      </c>
      <c r="N140" s="112"/>
      <c r="O140" s="112"/>
      <c r="P140" s="63"/>
      <c r="Q140" s="892"/>
      <c r="R140" s="112"/>
      <c r="S140" s="112"/>
      <c r="T140" s="112"/>
      <c r="U140" s="112"/>
      <c r="V140" s="112"/>
      <c r="W140" s="112"/>
      <c r="X140" s="112"/>
      <c r="Y140" s="112"/>
      <c r="Z140" s="112"/>
      <c r="AA140" s="112"/>
      <c r="AB140" s="63"/>
      <c r="AC140" s="976">
        <f t="shared" si="25"/>
        <v>80000</v>
      </c>
      <c r="AD140" s="288"/>
      <c r="AE140" s="124"/>
      <c r="AF140" s="288"/>
      <c r="AG140" s="288"/>
      <c r="AH140" s="63" t="s">
        <v>226</v>
      </c>
      <c r="AJ140" s="918"/>
      <c r="AK140" s="918"/>
      <c r="AL140" s="918">
        <f t="shared" si="26"/>
        <v>62992.125984251965</v>
      </c>
      <c r="AM140" s="918">
        <f t="shared" si="27"/>
        <v>17007.874015748035</v>
      </c>
      <c r="AN140" s="918">
        <f t="shared" si="28"/>
        <v>-17007.874015748035</v>
      </c>
    </row>
    <row r="141" spans="1:40" ht="31.5" customHeight="1" x14ac:dyDescent="0.2">
      <c r="A141" s="897" t="s">
        <v>1233</v>
      </c>
      <c r="B141" s="289" t="s">
        <v>161</v>
      </c>
      <c r="C141" s="613" t="s">
        <v>1236</v>
      </c>
      <c r="D141" s="919"/>
      <c r="E141" s="891">
        <f t="shared" si="22"/>
        <v>0</v>
      </c>
      <c r="F141" s="891">
        <f t="shared" si="23"/>
        <v>8826500</v>
      </c>
      <c r="G141" s="891">
        <f t="shared" si="23"/>
        <v>8826500</v>
      </c>
      <c r="H141" s="112"/>
      <c r="I141" s="112"/>
      <c r="J141" s="112"/>
      <c r="K141" s="112"/>
      <c r="L141" s="112">
        <f>3937008+3012992+800000-800000</f>
        <v>6950000</v>
      </c>
      <c r="M141" s="112">
        <v>6950000</v>
      </c>
      <c r="N141" s="112"/>
      <c r="O141" s="112"/>
      <c r="P141" s="63"/>
      <c r="Q141" s="892"/>
      <c r="R141" s="112"/>
      <c r="S141" s="112"/>
      <c r="T141" s="112"/>
      <c r="U141" s="112"/>
      <c r="V141" s="112"/>
      <c r="W141" s="112"/>
      <c r="X141" s="112"/>
      <c r="Y141" s="112"/>
      <c r="Z141" s="112"/>
      <c r="AA141" s="112">
        <f>1062992+813508</f>
        <v>1876500</v>
      </c>
      <c r="AB141" s="63">
        <v>1876500</v>
      </c>
      <c r="AC141" s="976">
        <f t="shared" si="25"/>
        <v>8826500</v>
      </c>
      <c r="AD141" s="288"/>
      <c r="AE141" s="124"/>
      <c r="AF141" s="288"/>
      <c r="AG141" s="288"/>
      <c r="AH141" s="63" t="s">
        <v>225</v>
      </c>
      <c r="AJ141" s="918"/>
      <c r="AK141" s="918"/>
      <c r="AL141" s="918">
        <f t="shared" si="26"/>
        <v>6950000</v>
      </c>
      <c r="AM141" s="918">
        <f t="shared" si="27"/>
        <v>1876500</v>
      </c>
      <c r="AN141" s="918">
        <f t="shared" si="28"/>
        <v>0</v>
      </c>
    </row>
    <row r="142" spans="1:40" ht="33" customHeight="1" x14ac:dyDescent="0.2">
      <c r="A142" s="929" t="s">
        <v>998</v>
      </c>
      <c r="B142" s="921" t="s">
        <v>74</v>
      </c>
      <c r="C142" s="607" t="s">
        <v>1352</v>
      </c>
      <c r="D142" s="930"/>
      <c r="E142" s="931">
        <f t="shared" si="22"/>
        <v>3000000</v>
      </c>
      <c r="F142" s="931">
        <f t="shared" si="23"/>
        <v>3000000</v>
      </c>
      <c r="G142" s="931">
        <f t="shared" si="23"/>
        <v>3000000</v>
      </c>
      <c r="H142" s="113"/>
      <c r="I142" s="113"/>
      <c r="J142" s="113"/>
      <c r="K142" s="113"/>
      <c r="L142" s="113"/>
      <c r="M142" s="113"/>
      <c r="N142" s="113"/>
      <c r="O142" s="113"/>
      <c r="P142" s="922"/>
      <c r="Q142" s="923">
        <v>2362205</v>
      </c>
      <c r="R142" s="113">
        <v>2362205</v>
      </c>
      <c r="S142" s="113">
        <v>2362205</v>
      </c>
      <c r="T142" s="113"/>
      <c r="U142" s="113"/>
      <c r="V142" s="113"/>
      <c r="W142" s="113"/>
      <c r="X142" s="113"/>
      <c r="Y142" s="113"/>
      <c r="Z142" s="113">
        <v>637795</v>
      </c>
      <c r="AA142" s="113">
        <v>637795</v>
      </c>
      <c r="AB142" s="922">
        <v>637795</v>
      </c>
      <c r="AC142" s="976">
        <f t="shared" ref="AC142" si="31">+F142-AD142-AE142-AF142</f>
        <v>3000000</v>
      </c>
      <c r="AD142" s="932"/>
      <c r="AE142" s="944"/>
      <c r="AF142" s="932"/>
      <c r="AG142" s="932"/>
      <c r="AH142" s="922" t="s">
        <v>225</v>
      </c>
      <c r="AJ142" s="918"/>
      <c r="AK142" s="918"/>
      <c r="AL142" s="918">
        <f t="shared" si="26"/>
        <v>2362204.7244094489</v>
      </c>
      <c r="AM142" s="918">
        <f t="shared" si="27"/>
        <v>637795.27559055109</v>
      </c>
      <c r="AN142" s="918">
        <f t="shared" si="28"/>
        <v>-0.27559055108577013</v>
      </c>
    </row>
    <row r="143" spans="1:40" ht="22.15" customHeight="1" x14ac:dyDescent="0.2">
      <c r="A143" s="1205" t="s">
        <v>27</v>
      </c>
      <c r="B143" s="1206"/>
      <c r="C143" s="1207"/>
      <c r="D143" s="957"/>
      <c r="E143" s="278">
        <f t="shared" ref="E143:AG143" si="32">+E75+E60+E56+E28+E10+E7</f>
        <v>1773589535</v>
      </c>
      <c r="F143" s="278">
        <f t="shared" si="32"/>
        <v>1963786912</v>
      </c>
      <c r="G143" s="278">
        <f t="shared" si="32"/>
        <v>963224457</v>
      </c>
      <c r="H143" s="278">
        <f t="shared" si="32"/>
        <v>1110000</v>
      </c>
      <c r="I143" s="278">
        <f t="shared" si="32"/>
        <v>1110000</v>
      </c>
      <c r="J143" s="278">
        <f t="shared" si="32"/>
        <v>0</v>
      </c>
      <c r="K143" s="278">
        <f t="shared" si="32"/>
        <v>1383876810</v>
      </c>
      <c r="L143" s="278">
        <f t="shared" si="32"/>
        <v>1727981380</v>
      </c>
      <c r="M143" s="278">
        <f t="shared" si="32"/>
        <v>814913984</v>
      </c>
      <c r="N143" s="278">
        <f t="shared" si="32"/>
        <v>500000</v>
      </c>
      <c r="O143" s="278">
        <f t="shared" si="32"/>
        <v>589441</v>
      </c>
      <c r="P143" s="311">
        <f t="shared" si="32"/>
        <v>493370</v>
      </c>
      <c r="Q143" s="310">
        <f t="shared" si="32"/>
        <v>25931719</v>
      </c>
      <c r="R143" s="278">
        <f t="shared" si="32"/>
        <v>62867527</v>
      </c>
      <c r="S143" s="278">
        <f t="shared" si="32"/>
        <v>57052665</v>
      </c>
      <c r="T143" s="278">
        <f t="shared" si="32"/>
        <v>0</v>
      </c>
      <c r="U143" s="278">
        <f t="shared" si="32"/>
        <v>0</v>
      </c>
      <c r="V143" s="278">
        <f t="shared" si="32"/>
        <v>0</v>
      </c>
      <c r="W143" s="278">
        <f t="shared" si="32"/>
        <v>0</v>
      </c>
      <c r="X143" s="278">
        <f t="shared" si="32"/>
        <v>0</v>
      </c>
      <c r="Y143" s="278">
        <f t="shared" si="32"/>
        <v>0</v>
      </c>
      <c r="Z143" s="278">
        <f t="shared" si="32"/>
        <v>362171006</v>
      </c>
      <c r="AA143" s="278">
        <f t="shared" si="32"/>
        <v>171238564</v>
      </c>
      <c r="AB143" s="311">
        <f t="shared" si="32"/>
        <v>90764438</v>
      </c>
      <c r="AC143" s="310">
        <f t="shared" si="32"/>
        <v>1275169883</v>
      </c>
      <c r="AD143" s="278">
        <f t="shared" si="32"/>
        <v>41418264</v>
      </c>
      <c r="AE143" s="278">
        <f t="shared" si="32"/>
        <v>647198765</v>
      </c>
      <c r="AF143" s="278">
        <f t="shared" si="32"/>
        <v>0</v>
      </c>
      <c r="AG143" s="278">
        <f t="shared" si="32"/>
        <v>885879500</v>
      </c>
      <c r="AH143" s="91"/>
      <c r="AI143" s="8" t="e">
        <f>+AC143+AD143+AF143+#REF!</f>
        <v>#REF!</v>
      </c>
      <c r="AJ143" s="918">
        <f t="shared" ref="AJ143:AJ157" si="33">SUM(AC143:AG143)</f>
        <v>2849666412</v>
      </c>
      <c r="AK143" s="918">
        <f t="shared" ref="AK143:AK179" si="34">+AJ143-E143</f>
        <v>1076076877</v>
      </c>
      <c r="AL143" s="918">
        <f t="shared" si="26"/>
        <v>758444454.33070862</v>
      </c>
      <c r="AM143" s="918">
        <f t="shared" si="27"/>
        <v>204780002.66929138</v>
      </c>
      <c r="AN143" s="918">
        <f t="shared" si="28"/>
        <v>-114015564.66929138</v>
      </c>
    </row>
    <row r="144" spans="1:40" s="9" customFormat="1" ht="19.899999999999999" customHeight="1" x14ac:dyDescent="0.2">
      <c r="A144" s="958" t="s">
        <v>22</v>
      </c>
      <c r="B144" s="959"/>
      <c r="C144" s="959"/>
      <c r="D144" s="934"/>
      <c r="E144" s="960">
        <f>SUM(E145:E182)</f>
        <v>60859015</v>
      </c>
      <c r="F144" s="960">
        <f>SUM(F145:F182)</f>
        <v>93657133</v>
      </c>
      <c r="G144" s="960">
        <f t="shared" ref="G144:AG144" si="35">SUM(G145:G182)</f>
        <v>51432921</v>
      </c>
      <c r="H144" s="960">
        <f t="shared" si="35"/>
        <v>1525000</v>
      </c>
      <c r="I144" s="960">
        <f t="shared" si="35"/>
        <v>1477422</v>
      </c>
      <c r="J144" s="960">
        <f t="shared" si="35"/>
        <v>114094</v>
      </c>
      <c r="K144" s="960">
        <f t="shared" si="35"/>
        <v>0</v>
      </c>
      <c r="L144" s="960">
        <f t="shared" si="35"/>
        <v>0</v>
      </c>
      <c r="M144" s="960">
        <f t="shared" si="35"/>
        <v>0</v>
      </c>
      <c r="N144" s="960">
        <f t="shared" si="35"/>
        <v>13292132</v>
      </c>
      <c r="O144" s="960">
        <f t="shared" si="35"/>
        <v>13444328</v>
      </c>
      <c r="P144" s="961">
        <f t="shared" si="35"/>
        <v>8328446</v>
      </c>
      <c r="Q144" s="962">
        <f t="shared" si="35"/>
        <v>33252171</v>
      </c>
      <c r="R144" s="960">
        <f t="shared" si="35"/>
        <v>59112548</v>
      </c>
      <c r="S144" s="960">
        <f t="shared" si="35"/>
        <v>32139064</v>
      </c>
      <c r="T144" s="960">
        <f t="shared" si="35"/>
        <v>0</v>
      </c>
      <c r="U144" s="960">
        <f t="shared" si="35"/>
        <v>0</v>
      </c>
      <c r="V144" s="960">
        <f t="shared" si="35"/>
        <v>0</v>
      </c>
      <c r="W144" s="960">
        <f t="shared" si="35"/>
        <v>0</v>
      </c>
      <c r="X144" s="960">
        <f t="shared" si="35"/>
        <v>0</v>
      </c>
      <c r="Y144" s="960">
        <f t="shared" si="35"/>
        <v>0</v>
      </c>
      <c r="Z144" s="960">
        <f t="shared" si="35"/>
        <v>12789712</v>
      </c>
      <c r="AA144" s="960">
        <f>SUM(AA145:AA182)</f>
        <v>19622835</v>
      </c>
      <c r="AB144" s="961">
        <f t="shared" si="35"/>
        <v>10851317</v>
      </c>
      <c r="AC144" s="963">
        <f t="shared" si="35"/>
        <v>93657133</v>
      </c>
      <c r="AD144" s="964">
        <f t="shared" si="35"/>
        <v>0</v>
      </c>
      <c r="AE144" s="964">
        <f t="shared" si="35"/>
        <v>0</v>
      </c>
      <c r="AF144" s="964">
        <f t="shared" si="35"/>
        <v>0</v>
      </c>
      <c r="AG144" s="964">
        <f t="shared" si="35"/>
        <v>0</v>
      </c>
      <c r="AH144" s="735"/>
      <c r="AI144" s="9" t="e">
        <f>+AC144+AD144+AF144+#REF!</f>
        <v>#REF!</v>
      </c>
      <c r="AJ144" s="918">
        <f t="shared" si="33"/>
        <v>93657133</v>
      </c>
      <c r="AK144" s="918">
        <f t="shared" si="34"/>
        <v>32798118</v>
      </c>
      <c r="AL144" s="918">
        <f t="shared" si="26"/>
        <v>40498362.992125981</v>
      </c>
      <c r="AM144" s="918">
        <f t="shared" si="27"/>
        <v>10934558.007874019</v>
      </c>
      <c r="AN144" s="918">
        <f t="shared" si="28"/>
        <v>-83241.007874019444</v>
      </c>
    </row>
    <row r="145" spans="1:40" ht="24" customHeight="1" x14ac:dyDescent="0.2">
      <c r="A145" s="897" t="s">
        <v>90</v>
      </c>
      <c r="B145" s="895" t="s">
        <v>73</v>
      </c>
      <c r="C145" s="72" t="s">
        <v>156</v>
      </c>
      <c r="D145" s="919"/>
      <c r="E145" s="965">
        <f>+H145+K145+N145+Q145+T145+W145+Z145</f>
        <v>20066000</v>
      </c>
      <c r="F145" s="965">
        <f>+I145+L145+O145+R145+U145+X145+AA145</f>
        <v>33302695</v>
      </c>
      <c r="G145" s="965">
        <f>+J145+M145+P145+S145+V145+Y145+AB145</f>
        <v>12323048</v>
      </c>
      <c r="H145" s="124">
        <v>1300000</v>
      </c>
      <c r="I145" s="124">
        <v>1300000</v>
      </c>
      <c r="J145" s="124">
        <v>114094</v>
      </c>
      <c r="K145" s="124"/>
      <c r="L145" s="124"/>
      <c r="M145" s="124"/>
      <c r="N145" s="124">
        <v>5000000</v>
      </c>
      <c r="O145" s="124">
        <v>5010000</v>
      </c>
      <c r="P145" s="302">
        <v>4426709</v>
      </c>
      <c r="Q145" s="266">
        <v>9500000</v>
      </c>
      <c r="R145" s="124">
        <v>19795847</v>
      </c>
      <c r="S145" s="124">
        <v>5165360</v>
      </c>
      <c r="T145" s="124"/>
      <c r="U145" s="124"/>
      <c r="V145" s="124"/>
      <c r="W145" s="124"/>
      <c r="X145" s="124"/>
      <c r="Y145" s="124"/>
      <c r="Z145" s="124">
        <v>4266000</v>
      </c>
      <c r="AA145" s="124">
        <v>7196848</v>
      </c>
      <c r="AB145" s="302">
        <v>2616885</v>
      </c>
      <c r="AC145" s="976">
        <f t="shared" ref="AC145:AC182" si="36">+F145-AD145-AE145-AF145</f>
        <v>33302695</v>
      </c>
      <c r="AD145" s="939"/>
      <c r="AE145" s="939"/>
      <c r="AF145" s="939"/>
      <c r="AG145" s="939"/>
      <c r="AH145" s="936" t="s">
        <v>225</v>
      </c>
      <c r="AI145" s="8" t="e">
        <f>+AC145+AD145+AF145+#REF!</f>
        <v>#REF!</v>
      </c>
      <c r="AJ145" s="918">
        <f t="shared" si="33"/>
        <v>33302695</v>
      </c>
      <c r="AK145" s="918">
        <f t="shared" si="34"/>
        <v>13236695</v>
      </c>
      <c r="AL145" s="918">
        <f t="shared" si="26"/>
        <v>9703187.4015748035</v>
      </c>
      <c r="AM145" s="918">
        <f t="shared" si="27"/>
        <v>2619860.5984251965</v>
      </c>
      <c r="AN145" s="918">
        <f t="shared" si="28"/>
        <v>-2975.5984251964837</v>
      </c>
    </row>
    <row r="146" spans="1:40" ht="24" customHeight="1" x14ac:dyDescent="0.2">
      <c r="A146" s="897" t="s">
        <v>128</v>
      </c>
      <c r="B146" s="895" t="s">
        <v>158</v>
      </c>
      <c r="C146" s="72" t="s">
        <v>157</v>
      </c>
      <c r="D146" s="919"/>
      <c r="E146" s="965">
        <f t="shared" ref="E146:F182" si="37">+H146+K146+N146+Q146+T146+W146+Z146</f>
        <v>5780000</v>
      </c>
      <c r="F146" s="965">
        <f t="shared" si="37"/>
        <v>5780000</v>
      </c>
      <c r="G146" s="965">
        <f t="shared" ref="G146:G182" si="38">+J146+M146+P146+S146+V146+Y146+AB146</f>
        <v>349724</v>
      </c>
      <c r="H146" s="124"/>
      <c r="I146" s="124"/>
      <c r="J146" s="124"/>
      <c r="K146" s="124"/>
      <c r="L146" s="124"/>
      <c r="M146" s="124"/>
      <c r="N146" s="124">
        <v>700000</v>
      </c>
      <c r="O146" s="124">
        <v>700000</v>
      </c>
      <c r="P146" s="302">
        <v>66602</v>
      </c>
      <c r="Q146" s="266">
        <v>4000000</v>
      </c>
      <c r="R146" s="124">
        <v>4000000</v>
      </c>
      <c r="S146" s="124">
        <v>208771</v>
      </c>
      <c r="T146" s="124"/>
      <c r="U146" s="124"/>
      <c r="V146" s="124"/>
      <c r="W146" s="124"/>
      <c r="X146" s="124"/>
      <c r="Y146" s="124"/>
      <c r="Z146" s="124">
        <v>1080000</v>
      </c>
      <c r="AA146" s="124">
        <v>1080000</v>
      </c>
      <c r="AB146" s="302">
        <v>74351</v>
      </c>
      <c r="AC146" s="976">
        <f t="shared" si="36"/>
        <v>5780000</v>
      </c>
      <c r="AD146" s="288"/>
      <c r="AE146" s="288"/>
      <c r="AF146" s="288"/>
      <c r="AG146" s="288"/>
      <c r="AH146" s="65" t="s">
        <v>227</v>
      </c>
      <c r="AI146" s="8" t="e">
        <f>+AC146+AD146+AF146+#REF!</f>
        <v>#REF!</v>
      </c>
      <c r="AJ146" s="918">
        <f t="shared" si="33"/>
        <v>5780000</v>
      </c>
      <c r="AK146" s="918">
        <f t="shared" si="34"/>
        <v>0</v>
      </c>
      <c r="AL146" s="918">
        <f t="shared" si="26"/>
        <v>275373.22834645672</v>
      </c>
      <c r="AM146" s="918">
        <f t="shared" si="27"/>
        <v>74350.771653543285</v>
      </c>
      <c r="AN146" s="918">
        <f t="shared" si="28"/>
        <v>0.22834645671537146</v>
      </c>
    </row>
    <row r="147" spans="1:40" ht="24" customHeight="1" x14ac:dyDescent="0.2">
      <c r="A147" s="897" t="s">
        <v>147</v>
      </c>
      <c r="B147" s="895" t="s">
        <v>478</v>
      </c>
      <c r="C147" s="72" t="s">
        <v>479</v>
      </c>
      <c r="D147" s="919"/>
      <c r="E147" s="965">
        <f t="shared" si="37"/>
        <v>1460500</v>
      </c>
      <c r="F147" s="965">
        <f t="shared" si="37"/>
        <v>5500737</v>
      </c>
      <c r="G147" s="965">
        <f t="shared" si="38"/>
        <v>4933567</v>
      </c>
      <c r="H147" s="124"/>
      <c r="I147" s="124"/>
      <c r="J147" s="124"/>
      <c r="K147" s="124"/>
      <c r="L147" s="124"/>
      <c r="M147" s="124"/>
      <c r="N147" s="124">
        <v>650000</v>
      </c>
      <c r="O147" s="124">
        <v>567170</v>
      </c>
      <c r="P147" s="302"/>
      <c r="Q147" s="266">
        <v>500000</v>
      </c>
      <c r="R147" s="124">
        <v>3884697</v>
      </c>
      <c r="S147" s="124">
        <v>3884697</v>
      </c>
      <c r="T147" s="124"/>
      <c r="U147" s="124"/>
      <c r="V147" s="124"/>
      <c r="W147" s="124"/>
      <c r="X147" s="124"/>
      <c r="Y147" s="124"/>
      <c r="Z147" s="124">
        <v>310500</v>
      </c>
      <c r="AA147" s="124">
        <v>1048870</v>
      </c>
      <c r="AB147" s="302">
        <v>1048870</v>
      </c>
      <c r="AC147" s="976">
        <f t="shared" si="36"/>
        <v>5500737</v>
      </c>
      <c r="AD147" s="288"/>
      <c r="AE147" s="288"/>
      <c r="AF147" s="288"/>
      <c r="AG147" s="288"/>
      <c r="AH147" s="65" t="s">
        <v>227</v>
      </c>
      <c r="AJ147" s="918">
        <f t="shared" si="33"/>
        <v>5500737</v>
      </c>
      <c r="AK147" s="918">
        <f t="shared" si="34"/>
        <v>4040237</v>
      </c>
      <c r="AL147" s="918">
        <f t="shared" si="26"/>
        <v>3884698.4251968502</v>
      </c>
      <c r="AM147" s="918">
        <f t="shared" si="27"/>
        <v>1048868.5748031498</v>
      </c>
      <c r="AN147" s="918">
        <f t="shared" si="28"/>
        <v>1.4251968502067029</v>
      </c>
    </row>
    <row r="148" spans="1:40" ht="24" customHeight="1" x14ac:dyDescent="0.2">
      <c r="A148" s="889" t="s">
        <v>130</v>
      </c>
      <c r="B148" s="895" t="s">
        <v>73</v>
      </c>
      <c r="C148" s="72" t="s">
        <v>1230</v>
      </c>
      <c r="D148" s="919"/>
      <c r="E148" s="965">
        <f t="shared" si="37"/>
        <v>6731000</v>
      </c>
      <c r="F148" s="965">
        <f t="shared" si="37"/>
        <v>6731000</v>
      </c>
      <c r="G148" s="965">
        <f t="shared" si="38"/>
        <v>1147554</v>
      </c>
      <c r="H148" s="124"/>
      <c r="I148" s="124"/>
      <c r="J148" s="124"/>
      <c r="K148" s="124"/>
      <c r="L148" s="124"/>
      <c r="M148" s="124"/>
      <c r="N148" s="124">
        <v>1300000</v>
      </c>
      <c r="O148" s="124">
        <v>1300000</v>
      </c>
      <c r="P148" s="302">
        <v>516122</v>
      </c>
      <c r="Q148" s="266">
        <v>4000000</v>
      </c>
      <c r="R148" s="124">
        <v>4000000</v>
      </c>
      <c r="S148" s="124">
        <v>387463</v>
      </c>
      <c r="T148" s="124"/>
      <c r="U148" s="124"/>
      <c r="V148" s="124"/>
      <c r="W148" s="124"/>
      <c r="X148" s="124"/>
      <c r="Y148" s="124"/>
      <c r="Z148" s="124">
        <v>1431000</v>
      </c>
      <c r="AA148" s="124">
        <v>1431000</v>
      </c>
      <c r="AB148" s="302">
        <v>243969</v>
      </c>
      <c r="AC148" s="976">
        <f t="shared" si="36"/>
        <v>6731000</v>
      </c>
      <c r="AD148" s="288"/>
      <c r="AE148" s="288"/>
      <c r="AF148" s="288"/>
      <c r="AG148" s="288"/>
      <c r="AH148" s="63" t="s">
        <v>225</v>
      </c>
      <c r="AJ148" s="918">
        <f t="shared" si="33"/>
        <v>6731000</v>
      </c>
      <c r="AK148" s="918">
        <f t="shared" si="34"/>
        <v>0</v>
      </c>
      <c r="AL148" s="918">
        <f t="shared" ref="AL148:AL184" si="39">+G148/1.27</f>
        <v>903585.82677165349</v>
      </c>
      <c r="AM148" s="918">
        <f t="shared" ref="AM148:AM184" si="40">+G148-AL148</f>
        <v>243968.17322834651</v>
      </c>
      <c r="AN148" s="918">
        <f t="shared" ref="AN148:AN184" si="41">+AB148-AM148</f>
        <v>0.82677165349014103</v>
      </c>
    </row>
    <row r="149" spans="1:40" ht="24" customHeight="1" x14ac:dyDescent="0.2">
      <c r="A149" s="897" t="s">
        <v>90</v>
      </c>
      <c r="B149" s="895" t="s">
        <v>522</v>
      </c>
      <c r="C149" s="72" t="s">
        <v>23</v>
      </c>
      <c r="D149" s="919"/>
      <c r="E149" s="965">
        <f t="shared" si="37"/>
        <v>381000</v>
      </c>
      <c r="F149" s="965">
        <f t="shared" si="37"/>
        <v>381000</v>
      </c>
      <c r="G149" s="965">
        <f t="shared" si="38"/>
        <v>45410</v>
      </c>
      <c r="H149" s="124"/>
      <c r="I149" s="124"/>
      <c r="J149" s="124"/>
      <c r="K149" s="124"/>
      <c r="L149" s="124"/>
      <c r="M149" s="124"/>
      <c r="N149" s="124"/>
      <c r="O149" s="124"/>
      <c r="P149" s="302"/>
      <c r="Q149" s="266">
        <v>300000</v>
      </c>
      <c r="R149" s="124">
        <v>300000</v>
      </c>
      <c r="S149" s="124">
        <v>35756</v>
      </c>
      <c r="T149" s="124"/>
      <c r="U149" s="124"/>
      <c r="V149" s="124"/>
      <c r="W149" s="124"/>
      <c r="X149" s="124"/>
      <c r="Y149" s="124"/>
      <c r="Z149" s="124">
        <v>81000</v>
      </c>
      <c r="AA149" s="124">
        <v>81000</v>
      </c>
      <c r="AB149" s="302">
        <v>9654</v>
      </c>
      <c r="AC149" s="976">
        <f t="shared" si="36"/>
        <v>381000</v>
      </c>
      <c r="AD149" s="288"/>
      <c r="AE149" s="288"/>
      <c r="AF149" s="288"/>
      <c r="AG149" s="288"/>
      <c r="AH149" s="63" t="s">
        <v>225</v>
      </c>
      <c r="AI149" s="8" t="e">
        <f>+AC149+AD149+AF149+#REF!</f>
        <v>#REF!</v>
      </c>
      <c r="AJ149" s="918">
        <f t="shared" si="33"/>
        <v>381000</v>
      </c>
      <c r="AK149" s="918">
        <f t="shared" si="34"/>
        <v>0</v>
      </c>
      <c r="AL149" s="918">
        <f t="shared" si="39"/>
        <v>35755.905511811026</v>
      </c>
      <c r="AM149" s="918">
        <f t="shared" si="40"/>
        <v>9654.0944881889736</v>
      </c>
      <c r="AN149" s="918">
        <f t="shared" si="41"/>
        <v>-9.4488188973627985E-2</v>
      </c>
    </row>
    <row r="150" spans="1:40" ht="24" customHeight="1" x14ac:dyDescent="0.2">
      <c r="A150" s="897" t="s">
        <v>128</v>
      </c>
      <c r="B150" s="895" t="s">
        <v>512</v>
      </c>
      <c r="C150" s="72" t="s">
        <v>23</v>
      </c>
      <c r="D150" s="919"/>
      <c r="E150" s="965">
        <f t="shared" si="37"/>
        <v>858520</v>
      </c>
      <c r="F150" s="965">
        <f t="shared" si="37"/>
        <v>2188720</v>
      </c>
      <c r="G150" s="965">
        <f t="shared" si="38"/>
        <v>1963613</v>
      </c>
      <c r="H150" s="124"/>
      <c r="I150" s="124"/>
      <c r="J150" s="124"/>
      <c r="K150" s="124"/>
      <c r="L150" s="124"/>
      <c r="M150" s="124"/>
      <c r="N150" s="124">
        <v>276000</v>
      </c>
      <c r="O150" s="124">
        <v>276000</v>
      </c>
      <c r="P150" s="302">
        <v>156930</v>
      </c>
      <c r="Q150" s="266">
        <v>400000</v>
      </c>
      <c r="R150" s="124">
        <v>1447402</v>
      </c>
      <c r="S150" s="124">
        <v>1389222</v>
      </c>
      <c r="T150" s="124"/>
      <c r="U150" s="124"/>
      <c r="V150" s="124"/>
      <c r="W150" s="124"/>
      <c r="X150" s="124"/>
      <c r="Y150" s="124"/>
      <c r="Z150" s="124">
        <v>182520</v>
      </c>
      <c r="AA150" s="124">
        <f>182520+282798</f>
        <v>465318</v>
      </c>
      <c r="AB150" s="302">
        <v>417461</v>
      </c>
      <c r="AC150" s="976">
        <f t="shared" si="36"/>
        <v>2188720</v>
      </c>
      <c r="AD150" s="288"/>
      <c r="AE150" s="288"/>
      <c r="AF150" s="288"/>
      <c r="AG150" s="288"/>
      <c r="AH150" s="63" t="s">
        <v>225</v>
      </c>
      <c r="AI150" s="8" t="e">
        <f>+AC150+AD150+AF150+#REF!</f>
        <v>#REF!</v>
      </c>
      <c r="AJ150" s="918">
        <f t="shared" si="33"/>
        <v>2188720</v>
      </c>
      <c r="AK150" s="918">
        <f t="shared" si="34"/>
        <v>1330200</v>
      </c>
      <c r="AL150" s="918">
        <f t="shared" si="39"/>
        <v>1546151.9685039369</v>
      </c>
      <c r="AM150" s="918">
        <f t="shared" si="40"/>
        <v>417461.03149606311</v>
      </c>
      <c r="AN150" s="918">
        <f t="shared" si="41"/>
        <v>-3.149606310762465E-2</v>
      </c>
    </row>
    <row r="151" spans="1:40" ht="24" customHeight="1" x14ac:dyDescent="0.2">
      <c r="A151" s="889" t="s">
        <v>147</v>
      </c>
      <c r="B151" s="895" t="s">
        <v>512</v>
      </c>
      <c r="C151" s="72" t="s">
        <v>23</v>
      </c>
      <c r="D151" s="919"/>
      <c r="E151" s="965">
        <f t="shared" si="37"/>
        <v>635000</v>
      </c>
      <c r="F151" s="965">
        <f t="shared" si="37"/>
        <v>2932748</v>
      </c>
      <c r="G151" s="965">
        <f t="shared" si="38"/>
        <v>2510637</v>
      </c>
      <c r="H151" s="124"/>
      <c r="I151" s="124"/>
      <c r="J151" s="124"/>
      <c r="K151" s="124"/>
      <c r="L151" s="124"/>
      <c r="M151" s="124"/>
      <c r="N151" s="124">
        <v>200000</v>
      </c>
      <c r="O151" s="124">
        <v>200000</v>
      </c>
      <c r="P151" s="302">
        <v>62598</v>
      </c>
      <c r="Q151" s="266">
        <v>300000</v>
      </c>
      <c r="R151" s="124">
        <f>300000+1809250</f>
        <v>2109250</v>
      </c>
      <c r="S151" s="124">
        <v>1914280</v>
      </c>
      <c r="T151" s="124"/>
      <c r="U151" s="124"/>
      <c r="V151" s="124"/>
      <c r="W151" s="124"/>
      <c r="X151" s="124"/>
      <c r="Y151" s="124"/>
      <c r="Z151" s="124">
        <v>135000</v>
      </c>
      <c r="AA151" s="124">
        <f>135000+488498</f>
        <v>623498</v>
      </c>
      <c r="AB151" s="302">
        <v>533759</v>
      </c>
      <c r="AC151" s="976">
        <f t="shared" si="36"/>
        <v>2932748</v>
      </c>
      <c r="AD151" s="288"/>
      <c r="AE151" s="288"/>
      <c r="AF151" s="288"/>
      <c r="AG151" s="288"/>
      <c r="AH151" s="63" t="s">
        <v>225</v>
      </c>
      <c r="AJ151" s="918">
        <f t="shared" si="33"/>
        <v>2932748</v>
      </c>
      <c r="AK151" s="918">
        <f t="shared" si="34"/>
        <v>2297748</v>
      </c>
      <c r="AL151" s="918">
        <f t="shared" si="39"/>
        <v>1976879.527559055</v>
      </c>
      <c r="AM151" s="918">
        <f t="shared" si="40"/>
        <v>533757.47244094498</v>
      </c>
      <c r="AN151" s="918">
        <f t="shared" si="41"/>
        <v>1.5275590550154448</v>
      </c>
    </row>
    <row r="152" spans="1:40" ht="24" customHeight="1" x14ac:dyDescent="0.2">
      <c r="A152" s="897" t="s">
        <v>90</v>
      </c>
      <c r="B152" s="895" t="s">
        <v>159</v>
      </c>
      <c r="C152" s="72" t="s">
        <v>160</v>
      </c>
      <c r="D152" s="919"/>
      <c r="E152" s="965">
        <f t="shared" si="37"/>
        <v>1315720</v>
      </c>
      <c r="F152" s="965">
        <f t="shared" si="37"/>
        <v>6120524</v>
      </c>
      <c r="G152" s="965">
        <f t="shared" si="38"/>
        <v>5821608</v>
      </c>
      <c r="H152" s="124"/>
      <c r="I152" s="124"/>
      <c r="J152" s="124"/>
      <c r="K152" s="124"/>
      <c r="L152" s="124"/>
      <c r="M152" s="124"/>
      <c r="N152" s="124">
        <v>636000</v>
      </c>
      <c r="O152" s="124">
        <v>636000</v>
      </c>
      <c r="P152" s="302">
        <v>542284</v>
      </c>
      <c r="Q152" s="266">
        <v>400000</v>
      </c>
      <c r="R152" s="124">
        <v>4203236</v>
      </c>
      <c r="S152" s="124">
        <v>4041661</v>
      </c>
      <c r="T152" s="124"/>
      <c r="U152" s="124"/>
      <c r="V152" s="124"/>
      <c r="W152" s="124"/>
      <c r="X152" s="124"/>
      <c r="Y152" s="124"/>
      <c r="Z152" s="124">
        <v>279720</v>
      </c>
      <c r="AA152" s="124">
        <v>1281288</v>
      </c>
      <c r="AB152" s="302">
        <v>1237663</v>
      </c>
      <c r="AC152" s="976">
        <f t="shared" si="36"/>
        <v>6120524</v>
      </c>
      <c r="AD152" s="288"/>
      <c r="AE152" s="288"/>
      <c r="AF152" s="288"/>
      <c r="AG152" s="288"/>
      <c r="AH152" s="63" t="s">
        <v>225</v>
      </c>
      <c r="AI152" s="8" t="e">
        <f>+AC152+AD152+AF152+#REF!</f>
        <v>#REF!</v>
      </c>
      <c r="AJ152" s="918">
        <f t="shared" si="33"/>
        <v>6120524</v>
      </c>
      <c r="AK152" s="918">
        <f t="shared" si="34"/>
        <v>4804804</v>
      </c>
      <c r="AL152" s="918">
        <f t="shared" si="39"/>
        <v>4583943.307086614</v>
      </c>
      <c r="AM152" s="918">
        <f t="shared" si="40"/>
        <v>1237664.692913386</v>
      </c>
      <c r="AN152" s="918">
        <f t="shared" si="41"/>
        <v>-1.6929133860394359</v>
      </c>
    </row>
    <row r="153" spans="1:40" ht="24" customHeight="1" x14ac:dyDescent="0.2">
      <c r="A153" s="889" t="s">
        <v>128</v>
      </c>
      <c r="B153" s="289" t="s">
        <v>689</v>
      </c>
      <c r="C153" s="72" t="s">
        <v>737</v>
      </c>
      <c r="D153" s="919"/>
      <c r="E153" s="965">
        <f t="shared" si="37"/>
        <v>127000</v>
      </c>
      <c r="F153" s="965">
        <f t="shared" si="37"/>
        <v>924000</v>
      </c>
      <c r="G153" s="965">
        <f t="shared" si="38"/>
        <v>924000</v>
      </c>
      <c r="H153" s="124"/>
      <c r="I153" s="124"/>
      <c r="J153" s="124"/>
      <c r="K153" s="124"/>
      <c r="L153" s="124"/>
      <c r="M153" s="124"/>
      <c r="N153" s="124"/>
      <c r="O153" s="124"/>
      <c r="P153" s="302"/>
      <c r="Q153" s="266">
        <v>100000</v>
      </c>
      <c r="R153" s="124">
        <v>727559</v>
      </c>
      <c r="S153" s="124">
        <v>727559</v>
      </c>
      <c r="T153" s="124"/>
      <c r="U153" s="124"/>
      <c r="V153" s="124"/>
      <c r="W153" s="124"/>
      <c r="X153" s="124"/>
      <c r="Y153" s="124"/>
      <c r="Z153" s="124">
        <v>27000</v>
      </c>
      <c r="AA153" s="124">
        <v>196441</v>
      </c>
      <c r="AB153" s="302">
        <v>196441</v>
      </c>
      <c r="AC153" s="976">
        <f t="shared" si="36"/>
        <v>924000</v>
      </c>
      <c r="AD153" s="288"/>
      <c r="AE153" s="288"/>
      <c r="AF153" s="288"/>
      <c r="AG153" s="288"/>
      <c r="AH153" s="63" t="s">
        <v>225</v>
      </c>
      <c r="AJ153" s="918">
        <f t="shared" si="33"/>
        <v>924000</v>
      </c>
      <c r="AK153" s="918">
        <f t="shared" si="34"/>
        <v>797000</v>
      </c>
      <c r="AL153" s="918">
        <f t="shared" si="39"/>
        <v>727559.05511811026</v>
      </c>
      <c r="AM153" s="918">
        <f t="shared" si="40"/>
        <v>196440.94488188974</v>
      </c>
      <c r="AN153" s="918">
        <f t="shared" si="41"/>
        <v>5.5118110263720155E-2</v>
      </c>
    </row>
    <row r="154" spans="1:40" ht="24" customHeight="1" x14ac:dyDescent="0.2">
      <c r="A154" s="897" t="s">
        <v>90</v>
      </c>
      <c r="B154" s="895" t="s">
        <v>159</v>
      </c>
      <c r="C154" s="72" t="s">
        <v>559</v>
      </c>
      <c r="D154" s="919"/>
      <c r="E154" s="965">
        <f t="shared" si="37"/>
        <v>604520</v>
      </c>
      <c r="F154" s="965">
        <f t="shared" si="37"/>
        <v>2895772</v>
      </c>
      <c r="G154" s="965">
        <f t="shared" si="38"/>
        <v>2832772</v>
      </c>
      <c r="H154" s="124"/>
      <c r="I154" s="124"/>
      <c r="J154" s="124"/>
      <c r="K154" s="124"/>
      <c r="L154" s="124"/>
      <c r="M154" s="124"/>
      <c r="N154" s="124">
        <v>276000</v>
      </c>
      <c r="O154" s="124">
        <v>354803</v>
      </c>
      <c r="P154" s="302">
        <v>354803</v>
      </c>
      <c r="Q154" s="266">
        <v>200000</v>
      </c>
      <c r="R154" s="124">
        <v>1925725</v>
      </c>
      <c r="S154" s="124">
        <v>1875725</v>
      </c>
      <c r="T154" s="124"/>
      <c r="U154" s="124"/>
      <c r="V154" s="124"/>
      <c r="W154" s="124"/>
      <c r="X154" s="124"/>
      <c r="Y154" s="124"/>
      <c r="Z154" s="124">
        <v>128520</v>
      </c>
      <c r="AA154" s="124">
        <v>615244</v>
      </c>
      <c r="AB154" s="302">
        <v>602244</v>
      </c>
      <c r="AC154" s="976">
        <f t="shared" si="36"/>
        <v>2895772</v>
      </c>
      <c r="AD154" s="288"/>
      <c r="AE154" s="288"/>
      <c r="AF154" s="288"/>
      <c r="AG154" s="288"/>
      <c r="AH154" s="63" t="s">
        <v>225</v>
      </c>
      <c r="AI154" s="8" t="e">
        <f>+AC154+AD154+AF154+#REF!</f>
        <v>#REF!</v>
      </c>
      <c r="AJ154" s="918">
        <f t="shared" si="33"/>
        <v>2895772</v>
      </c>
      <c r="AK154" s="918">
        <f t="shared" si="34"/>
        <v>2291252</v>
      </c>
      <c r="AL154" s="918">
        <f t="shared" si="39"/>
        <v>2230529.1338582677</v>
      </c>
      <c r="AM154" s="918">
        <f t="shared" si="40"/>
        <v>602242.86614173232</v>
      </c>
      <c r="AN154" s="918">
        <f t="shared" si="41"/>
        <v>1.1338582676835358</v>
      </c>
    </row>
    <row r="155" spans="1:40" ht="24" customHeight="1" x14ac:dyDescent="0.2">
      <c r="A155" s="897" t="s">
        <v>128</v>
      </c>
      <c r="B155" s="895" t="s">
        <v>159</v>
      </c>
      <c r="C155" s="72" t="s">
        <v>560</v>
      </c>
      <c r="D155" s="919"/>
      <c r="E155" s="965">
        <f t="shared" si="37"/>
        <v>381000</v>
      </c>
      <c r="F155" s="965">
        <f t="shared" si="37"/>
        <v>388290</v>
      </c>
      <c r="G155" s="965">
        <f t="shared" si="38"/>
        <v>186600</v>
      </c>
      <c r="H155" s="124"/>
      <c r="I155" s="124"/>
      <c r="J155" s="124"/>
      <c r="K155" s="124"/>
      <c r="L155" s="124"/>
      <c r="M155" s="124"/>
      <c r="N155" s="124">
        <v>200000</v>
      </c>
      <c r="O155" s="124">
        <v>158811</v>
      </c>
      <c r="P155" s="302"/>
      <c r="Q155" s="266">
        <v>100000</v>
      </c>
      <c r="R155" s="124">
        <v>146929</v>
      </c>
      <c r="S155" s="124">
        <v>146929</v>
      </c>
      <c r="T155" s="124"/>
      <c r="U155" s="124"/>
      <c r="V155" s="124"/>
      <c r="W155" s="124"/>
      <c r="X155" s="124"/>
      <c r="Y155" s="124"/>
      <c r="Z155" s="124">
        <v>81000</v>
      </c>
      <c r="AA155" s="124">
        <v>82550</v>
      </c>
      <c r="AB155" s="302">
        <v>39671</v>
      </c>
      <c r="AC155" s="976">
        <f t="shared" si="36"/>
        <v>388290</v>
      </c>
      <c r="AD155" s="288"/>
      <c r="AE155" s="288"/>
      <c r="AF155" s="288"/>
      <c r="AG155" s="288"/>
      <c r="AH155" s="63" t="s">
        <v>225</v>
      </c>
      <c r="AI155" s="8" t="e">
        <f>+AC155+AD155+AF155+#REF!</f>
        <v>#REF!</v>
      </c>
      <c r="AJ155" s="918">
        <f t="shared" si="33"/>
        <v>388290</v>
      </c>
      <c r="AK155" s="918">
        <f t="shared" si="34"/>
        <v>7290</v>
      </c>
      <c r="AL155" s="918">
        <f t="shared" si="39"/>
        <v>146929.13385826771</v>
      </c>
      <c r="AM155" s="918">
        <f t="shared" si="40"/>
        <v>39670.866141732287</v>
      </c>
      <c r="AN155" s="918">
        <f t="shared" si="41"/>
        <v>0.13385826771263964</v>
      </c>
    </row>
    <row r="156" spans="1:40" ht="24" customHeight="1" x14ac:dyDescent="0.2">
      <c r="A156" s="897" t="s">
        <v>90</v>
      </c>
      <c r="B156" s="895" t="s">
        <v>159</v>
      </c>
      <c r="C156" s="72" t="s">
        <v>576</v>
      </c>
      <c r="D156" s="919"/>
      <c r="E156" s="965">
        <f t="shared" si="37"/>
        <v>1176020</v>
      </c>
      <c r="F156" s="965">
        <f t="shared" si="37"/>
        <v>4379720</v>
      </c>
      <c r="G156" s="965">
        <f t="shared" si="38"/>
        <v>3846642</v>
      </c>
      <c r="H156" s="124"/>
      <c r="I156" s="124"/>
      <c r="J156" s="124"/>
      <c r="K156" s="124"/>
      <c r="L156" s="124"/>
      <c r="M156" s="124"/>
      <c r="N156" s="124">
        <v>526000</v>
      </c>
      <c r="O156" s="124">
        <v>526000</v>
      </c>
      <c r="P156" s="302">
        <v>125197</v>
      </c>
      <c r="Q156" s="266">
        <v>400000</v>
      </c>
      <c r="R156" s="124">
        <v>2999134</v>
      </c>
      <c r="S156" s="124">
        <v>2980191</v>
      </c>
      <c r="T156" s="124"/>
      <c r="U156" s="124"/>
      <c r="V156" s="124"/>
      <c r="W156" s="124"/>
      <c r="X156" s="124"/>
      <c r="Y156" s="124"/>
      <c r="Z156" s="124">
        <v>250020</v>
      </c>
      <c r="AA156" s="124">
        <v>854586</v>
      </c>
      <c r="AB156" s="302">
        <v>741254</v>
      </c>
      <c r="AC156" s="976">
        <f t="shared" si="36"/>
        <v>4379720</v>
      </c>
      <c r="AD156" s="288"/>
      <c r="AE156" s="288"/>
      <c r="AF156" s="288"/>
      <c r="AG156" s="288"/>
      <c r="AH156" s="63" t="s">
        <v>225</v>
      </c>
      <c r="AI156" s="8" t="e">
        <f>+AC156+AD156+AF156+#REF!</f>
        <v>#REF!</v>
      </c>
      <c r="AJ156" s="918">
        <f t="shared" si="33"/>
        <v>4379720</v>
      </c>
      <c r="AK156" s="918">
        <f t="shared" si="34"/>
        <v>3203700</v>
      </c>
      <c r="AL156" s="918">
        <f t="shared" si="39"/>
        <v>3028851.9685039371</v>
      </c>
      <c r="AM156" s="918">
        <f t="shared" si="40"/>
        <v>817790.03149606287</v>
      </c>
      <c r="AN156" s="918">
        <f t="shared" si="41"/>
        <v>-76536.031496062875</v>
      </c>
    </row>
    <row r="157" spans="1:40" ht="24" customHeight="1" x14ac:dyDescent="0.2">
      <c r="A157" s="897" t="s">
        <v>128</v>
      </c>
      <c r="B157" s="895" t="s">
        <v>159</v>
      </c>
      <c r="C157" s="72" t="s">
        <v>577</v>
      </c>
      <c r="D157" s="919"/>
      <c r="E157" s="965">
        <f t="shared" si="37"/>
        <v>406400</v>
      </c>
      <c r="F157" s="965">
        <f t="shared" si="37"/>
        <v>976467</v>
      </c>
      <c r="G157" s="965">
        <f t="shared" si="38"/>
        <v>867807</v>
      </c>
      <c r="H157" s="124"/>
      <c r="I157" s="124"/>
      <c r="J157" s="124"/>
      <c r="K157" s="124"/>
      <c r="L157" s="124"/>
      <c r="M157" s="124"/>
      <c r="N157" s="124">
        <v>220000</v>
      </c>
      <c r="O157" s="124">
        <v>108660</v>
      </c>
      <c r="P157" s="302"/>
      <c r="Q157" s="266">
        <v>100000</v>
      </c>
      <c r="R157" s="124">
        <v>683312</v>
      </c>
      <c r="S157" s="124">
        <v>683312</v>
      </c>
      <c r="T157" s="124"/>
      <c r="U157" s="124"/>
      <c r="V157" s="124"/>
      <c r="W157" s="124"/>
      <c r="X157" s="124"/>
      <c r="Y157" s="124"/>
      <c r="Z157" s="124">
        <v>86400</v>
      </c>
      <c r="AA157" s="124">
        <v>184495</v>
      </c>
      <c r="AB157" s="302">
        <v>184495</v>
      </c>
      <c r="AC157" s="976">
        <f t="shared" si="36"/>
        <v>976467</v>
      </c>
      <c r="AD157" s="288"/>
      <c r="AE157" s="288"/>
      <c r="AF157" s="288"/>
      <c r="AG157" s="288"/>
      <c r="AH157" s="63" t="s">
        <v>225</v>
      </c>
      <c r="AI157" s="8" t="e">
        <f>+AC157+AD157+AF157+#REF!</f>
        <v>#REF!</v>
      </c>
      <c r="AJ157" s="918">
        <f t="shared" si="33"/>
        <v>976467</v>
      </c>
      <c r="AK157" s="918">
        <f t="shared" si="34"/>
        <v>570067</v>
      </c>
      <c r="AL157" s="918">
        <f t="shared" si="39"/>
        <v>683312.59842519683</v>
      </c>
      <c r="AM157" s="918">
        <f t="shared" si="40"/>
        <v>184494.40157480317</v>
      </c>
      <c r="AN157" s="918">
        <f t="shared" si="41"/>
        <v>0.59842519683297724</v>
      </c>
    </row>
    <row r="158" spans="1:40" ht="24" customHeight="1" x14ac:dyDescent="0.2">
      <c r="A158" s="898" t="s">
        <v>147</v>
      </c>
      <c r="B158" s="327" t="s">
        <v>689</v>
      </c>
      <c r="C158" s="73" t="s">
        <v>748</v>
      </c>
      <c r="D158" s="942"/>
      <c r="E158" s="966">
        <f t="shared" si="37"/>
        <v>100000</v>
      </c>
      <c r="F158" s="966">
        <f t="shared" si="37"/>
        <v>100000</v>
      </c>
      <c r="G158" s="965">
        <f t="shared" si="38"/>
        <v>81940</v>
      </c>
      <c r="H158" s="141"/>
      <c r="I158" s="141"/>
      <c r="J158" s="141"/>
      <c r="K158" s="141"/>
      <c r="L158" s="141"/>
      <c r="M158" s="141"/>
      <c r="N158" s="141"/>
      <c r="O158" s="141"/>
      <c r="P158" s="328"/>
      <c r="Q158" s="325">
        <v>78740</v>
      </c>
      <c r="R158" s="141">
        <v>78740</v>
      </c>
      <c r="S158" s="141">
        <v>64520</v>
      </c>
      <c r="T158" s="141"/>
      <c r="U158" s="141"/>
      <c r="V158" s="141"/>
      <c r="W158" s="141"/>
      <c r="X158" s="141"/>
      <c r="Y158" s="141"/>
      <c r="Z158" s="141">
        <v>21260</v>
      </c>
      <c r="AA158" s="141">
        <v>21260</v>
      </c>
      <c r="AB158" s="328">
        <v>17420</v>
      </c>
      <c r="AC158" s="976">
        <f t="shared" si="36"/>
        <v>100000</v>
      </c>
      <c r="AD158" s="285"/>
      <c r="AE158" s="285"/>
      <c r="AF158" s="285"/>
      <c r="AG158" s="285"/>
      <c r="AH158" s="162" t="s">
        <v>225</v>
      </c>
      <c r="AJ158" s="918"/>
      <c r="AK158" s="918"/>
      <c r="AL158" s="918">
        <f t="shared" si="39"/>
        <v>64519.685039370081</v>
      </c>
      <c r="AM158" s="918">
        <f t="shared" si="40"/>
        <v>17420.314960629919</v>
      </c>
      <c r="AN158" s="918">
        <f t="shared" si="41"/>
        <v>-0.31496062991936924</v>
      </c>
    </row>
    <row r="159" spans="1:40" ht="28.5" customHeight="1" x14ac:dyDescent="0.2">
      <c r="A159" s="948" t="s">
        <v>90</v>
      </c>
      <c r="B159" s="967" t="s">
        <v>523</v>
      </c>
      <c r="C159" s="968" t="s">
        <v>389</v>
      </c>
      <c r="D159" s="934"/>
      <c r="E159" s="960">
        <f t="shared" si="37"/>
        <v>5190490</v>
      </c>
      <c r="F159" s="960">
        <f t="shared" si="37"/>
        <v>3290490</v>
      </c>
      <c r="G159" s="965">
        <f t="shared" si="38"/>
        <v>2995770</v>
      </c>
      <c r="H159" s="945"/>
      <c r="I159" s="945"/>
      <c r="J159" s="945"/>
      <c r="K159" s="945"/>
      <c r="L159" s="945"/>
      <c r="M159" s="945"/>
      <c r="N159" s="945">
        <v>150000</v>
      </c>
      <c r="O159" s="945">
        <f>150000+88575</f>
        <v>238575</v>
      </c>
      <c r="P159" s="969">
        <v>238575</v>
      </c>
      <c r="Q159" s="938">
        <v>3937000</v>
      </c>
      <c r="R159" s="945">
        <v>2353425</v>
      </c>
      <c r="S159" s="945">
        <v>2120301</v>
      </c>
      <c r="T159" s="945"/>
      <c r="U159" s="945"/>
      <c r="V159" s="945"/>
      <c r="W159" s="945"/>
      <c r="X159" s="945"/>
      <c r="Y159" s="945"/>
      <c r="Z159" s="945">
        <v>1103490</v>
      </c>
      <c r="AA159" s="284">
        <v>698490</v>
      </c>
      <c r="AB159" s="389">
        <v>636894</v>
      </c>
      <c r="AC159" s="976">
        <f t="shared" si="36"/>
        <v>3290490</v>
      </c>
      <c r="AD159" s="939"/>
      <c r="AE159" s="939"/>
      <c r="AF159" s="939"/>
      <c r="AG159" s="939"/>
      <c r="AH159" s="936" t="s">
        <v>225</v>
      </c>
      <c r="AI159" s="8" t="e">
        <f>+AC159+AD159+AF159+#REF!</f>
        <v>#REF!</v>
      </c>
      <c r="AJ159" s="918">
        <f t="shared" ref="AJ159:AJ165" si="42">SUM(AC159:AG159)</f>
        <v>3290490</v>
      </c>
      <c r="AK159" s="918">
        <f t="shared" si="34"/>
        <v>-1900000</v>
      </c>
      <c r="AL159" s="918">
        <f t="shared" si="39"/>
        <v>2358874.0157480314</v>
      </c>
      <c r="AM159" s="918">
        <f t="shared" si="40"/>
        <v>636895.98425196856</v>
      </c>
      <c r="AN159" s="918">
        <f t="shared" si="41"/>
        <v>-1.984251968562603</v>
      </c>
    </row>
    <row r="160" spans="1:40" ht="24.75" customHeight="1" x14ac:dyDescent="0.2">
      <c r="A160" s="897" t="s">
        <v>128</v>
      </c>
      <c r="B160" s="895" t="s">
        <v>480</v>
      </c>
      <c r="C160" s="388" t="s">
        <v>481</v>
      </c>
      <c r="D160" s="919"/>
      <c r="E160" s="965">
        <f t="shared" si="37"/>
        <v>381000</v>
      </c>
      <c r="F160" s="965">
        <f t="shared" si="37"/>
        <v>381000</v>
      </c>
      <c r="G160" s="965">
        <f t="shared" si="38"/>
        <v>0</v>
      </c>
      <c r="H160" s="124"/>
      <c r="I160" s="124"/>
      <c r="J160" s="124"/>
      <c r="K160" s="124"/>
      <c r="L160" s="124"/>
      <c r="M160" s="124"/>
      <c r="N160" s="124"/>
      <c r="O160" s="124"/>
      <c r="P160" s="302"/>
      <c r="Q160" s="266">
        <v>300000</v>
      </c>
      <c r="R160" s="124">
        <v>300000</v>
      </c>
      <c r="S160" s="124"/>
      <c r="T160" s="124"/>
      <c r="U160" s="124"/>
      <c r="V160" s="124"/>
      <c r="W160" s="124"/>
      <c r="X160" s="124"/>
      <c r="Y160" s="124"/>
      <c r="Z160" s="124">
        <v>81000</v>
      </c>
      <c r="AA160" s="124">
        <v>81000</v>
      </c>
      <c r="AB160" s="302"/>
      <c r="AC160" s="976">
        <f t="shared" si="36"/>
        <v>381000</v>
      </c>
      <c r="AD160" s="288"/>
      <c r="AE160" s="288"/>
      <c r="AF160" s="288"/>
      <c r="AG160" s="288"/>
      <c r="AH160" s="63" t="s">
        <v>225</v>
      </c>
      <c r="AJ160" s="918">
        <f t="shared" si="42"/>
        <v>381000</v>
      </c>
      <c r="AK160" s="918">
        <f t="shared" si="34"/>
        <v>0</v>
      </c>
      <c r="AL160" s="918">
        <f t="shared" si="39"/>
        <v>0</v>
      </c>
      <c r="AM160" s="918">
        <f t="shared" si="40"/>
        <v>0</v>
      </c>
      <c r="AN160" s="918">
        <f t="shared" si="41"/>
        <v>0</v>
      </c>
    </row>
    <row r="161" spans="1:40" ht="21.75" customHeight="1" x14ac:dyDescent="0.2">
      <c r="A161" s="897" t="s">
        <v>147</v>
      </c>
      <c r="B161" s="895" t="s">
        <v>388</v>
      </c>
      <c r="C161" s="388" t="s">
        <v>390</v>
      </c>
      <c r="D161" s="919"/>
      <c r="E161" s="965">
        <f t="shared" si="37"/>
        <v>254000</v>
      </c>
      <c r="F161" s="965">
        <f t="shared" si="37"/>
        <v>254000</v>
      </c>
      <c r="G161" s="965">
        <f t="shared" si="38"/>
        <v>0</v>
      </c>
      <c r="H161" s="124"/>
      <c r="I161" s="124"/>
      <c r="J161" s="124"/>
      <c r="K161" s="124"/>
      <c r="L161" s="124"/>
      <c r="M161" s="124"/>
      <c r="N161" s="124"/>
      <c r="O161" s="124"/>
      <c r="P161" s="302"/>
      <c r="Q161" s="266">
        <v>200000</v>
      </c>
      <c r="R161" s="124">
        <v>200000</v>
      </c>
      <c r="S161" s="124"/>
      <c r="T161" s="124"/>
      <c r="U161" s="124"/>
      <c r="V161" s="124"/>
      <c r="W161" s="124"/>
      <c r="X161" s="124"/>
      <c r="Y161" s="124"/>
      <c r="Z161" s="124">
        <v>54000</v>
      </c>
      <c r="AA161" s="124">
        <v>54000</v>
      </c>
      <c r="AB161" s="302"/>
      <c r="AC161" s="976">
        <f t="shared" si="36"/>
        <v>254000</v>
      </c>
      <c r="AD161" s="288"/>
      <c r="AE161" s="288"/>
      <c r="AF161" s="288"/>
      <c r="AG161" s="288"/>
      <c r="AH161" s="63" t="s">
        <v>226</v>
      </c>
      <c r="AJ161" s="918">
        <f t="shared" si="42"/>
        <v>254000</v>
      </c>
      <c r="AK161" s="918">
        <f t="shared" si="34"/>
        <v>0</v>
      </c>
      <c r="AL161" s="918">
        <f t="shared" si="39"/>
        <v>0</v>
      </c>
      <c r="AM161" s="918">
        <f t="shared" si="40"/>
        <v>0</v>
      </c>
      <c r="AN161" s="918">
        <f t="shared" si="41"/>
        <v>0</v>
      </c>
    </row>
    <row r="162" spans="1:40" ht="24" customHeight="1" x14ac:dyDescent="0.2">
      <c r="A162" s="897" t="s">
        <v>148</v>
      </c>
      <c r="B162" s="895" t="s">
        <v>163</v>
      </c>
      <c r="C162" s="388" t="s">
        <v>168</v>
      </c>
      <c r="D162" s="919"/>
      <c r="E162" s="965">
        <f t="shared" si="37"/>
        <v>63500</v>
      </c>
      <c r="F162" s="965">
        <f t="shared" si="37"/>
        <v>63500</v>
      </c>
      <c r="G162" s="965">
        <f t="shared" si="38"/>
        <v>52689</v>
      </c>
      <c r="H162" s="124"/>
      <c r="I162" s="124"/>
      <c r="J162" s="124"/>
      <c r="K162" s="124"/>
      <c r="L162" s="124"/>
      <c r="M162" s="124"/>
      <c r="N162" s="124"/>
      <c r="O162" s="124"/>
      <c r="P162" s="302"/>
      <c r="Q162" s="266">
        <v>50000</v>
      </c>
      <c r="R162" s="124">
        <v>50000</v>
      </c>
      <c r="S162" s="124">
        <v>41487</v>
      </c>
      <c r="T162" s="124"/>
      <c r="U162" s="124"/>
      <c r="V162" s="124"/>
      <c r="W162" s="124"/>
      <c r="X162" s="124"/>
      <c r="Y162" s="124"/>
      <c r="Z162" s="124">
        <v>13500</v>
      </c>
      <c r="AA162" s="124">
        <v>13500</v>
      </c>
      <c r="AB162" s="302">
        <v>11202</v>
      </c>
      <c r="AC162" s="976">
        <f t="shared" si="36"/>
        <v>63500</v>
      </c>
      <c r="AD162" s="288"/>
      <c r="AE162" s="288"/>
      <c r="AF162" s="288"/>
      <c r="AG162" s="288"/>
      <c r="AH162" s="63" t="s">
        <v>226</v>
      </c>
      <c r="AI162" s="8" t="e">
        <f>+AC162+AD162+AF162+#REF!</f>
        <v>#REF!</v>
      </c>
      <c r="AJ162" s="918">
        <f t="shared" si="42"/>
        <v>63500</v>
      </c>
      <c r="AK162" s="918">
        <f t="shared" si="34"/>
        <v>0</v>
      </c>
      <c r="AL162" s="918">
        <f t="shared" si="39"/>
        <v>41487.401574803152</v>
      </c>
      <c r="AM162" s="918">
        <f t="shared" si="40"/>
        <v>11201.598425196848</v>
      </c>
      <c r="AN162" s="918">
        <f t="shared" si="41"/>
        <v>0.40157480315247085</v>
      </c>
    </row>
    <row r="163" spans="1:40" ht="24" customHeight="1" x14ac:dyDescent="0.2">
      <c r="A163" s="897" t="s">
        <v>129</v>
      </c>
      <c r="B163" s="895" t="s">
        <v>164</v>
      </c>
      <c r="C163" s="388" t="s">
        <v>482</v>
      </c>
      <c r="D163" s="919"/>
      <c r="E163" s="965">
        <f t="shared" si="37"/>
        <v>635000</v>
      </c>
      <c r="F163" s="965">
        <f t="shared" si="37"/>
        <v>801366</v>
      </c>
      <c r="G163" s="965">
        <f t="shared" si="38"/>
        <v>418582</v>
      </c>
      <c r="H163" s="124"/>
      <c r="I163" s="124"/>
      <c r="J163" s="124"/>
      <c r="K163" s="124"/>
      <c r="L163" s="124"/>
      <c r="M163" s="124"/>
      <c r="N163" s="124"/>
      <c r="O163" s="124"/>
      <c r="P163" s="302"/>
      <c r="Q163" s="266">
        <v>500000</v>
      </c>
      <c r="R163" s="124">
        <v>630997</v>
      </c>
      <c r="S163" s="124">
        <v>329592</v>
      </c>
      <c r="T163" s="124"/>
      <c r="U163" s="124"/>
      <c r="V163" s="124"/>
      <c r="W163" s="124"/>
      <c r="X163" s="124"/>
      <c r="Y163" s="124"/>
      <c r="Z163" s="124">
        <v>135000</v>
      </c>
      <c r="AA163" s="124">
        <f>135000+35369</f>
        <v>170369</v>
      </c>
      <c r="AB163" s="302">
        <v>88990</v>
      </c>
      <c r="AC163" s="976">
        <f t="shared" si="36"/>
        <v>801366</v>
      </c>
      <c r="AD163" s="288"/>
      <c r="AE163" s="288"/>
      <c r="AF163" s="288"/>
      <c r="AG163" s="288"/>
      <c r="AH163" s="63" t="s">
        <v>225</v>
      </c>
      <c r="AJ163" s="918">
        <f t="shared" si="42"/>
        <v>801366</v>
      </c>
      <c r="AK163" s="918">
        <f t="shared" si="34"/>
        <v>166366</v>
      </c>
      <c r="AL163" s="918">
        <f t="shared" si="39"/>
        <v>329592.12598425196</v>
      </c>
      <c r="AM163" s="918">
        <f t="shared" si="40"/>
        <v>88989.874015748035</v>
      </c>
      <c r="AN163" s="918">
        <f t="shared" si="41"/>
        <v>0.12598425196483731</v>
      </c>
    </row>
    <row r="164" spans="1:40" ht="32.25" customHeight="1" x14ac:dyDescent="0.2">
      <c r="A164" s="897" t="s">
        <v>130</v>
      </c>
      <c r="B164" s="895" t="s">
        <v>164</v>
      </c>
      <c r="C164" s="388" t="s">
        <v>483</v>
      </c>
      <c r="D164" s="919"/>
      <c r="E164" s="965">
        <f t="shared" si="37"/>
        <v>254000</v>
      </c>
      <c r="F164" s="965">
        <f t="shared" si="37"/>
        <v>364730</v>
      </c>
      <c r="G164" s="965">
        <f t="shared" si="38"/>
        <v>147227</v>
      </c>
      <c r="H164" s="124"/>
      <c r="I164" s="124"/>
      <c r="J164" s="124"/>
      <c r="K164" s="124"/>
      <c r="L164" s="124"/>
      <c r="M164" s="124"/>
      <c r="N164" s="124"/>
      <c r="O164" s="124"/>
      <c r="P164" s="302"/>
      <c r="Q164" s="266">
        <v>200000</v>
      </c>
      <c r="R164" s="124">
        <v>287189</v>
      </c>
      <c r="S164" s="124">
        <v>115927</v>
      </c>
      <c r="T164" s="124"/>
      <c r="U164" s="124"/>
      <c r="V164" s="124"/>
      <c r="W164" s="124"/>
      <c r="X164" s="124"/>
      <c r="Y164" s="124"/>
      <c r="Z164" s="124">
        <v>54000</v>
      </c>
      <c r="AA164" s="124">
        <v>77541</v>
      </c>
      <c r="AB164" s="302">
        <v>31300</v>
      </c>
      <c r="AC164" s="976">
        <f t="shared" si="36"/>
        <v>364730</v>
      </c>
      <c r="AD164" s="288"/>
      <c r="AE164" s="288"/>
      <c r="AF164" s="288"/>
      <c r="AG164" s="288"/>
      <c r="AH164" s="63" t="s">
        <v>225</v>
      </c>
      <c r="AI164" s="8" t="e">
        <f>+AC164+AD164+AF164+#REF!</f>
        <v>#REF!</v>
      </c>
      <c r="AJ164" s="918">
        <f t="shared" si="42"/>
        <v>364730</v>
      </c>
      <c r="AK164" s="918">
        <f t="shared" si="34"/>
        <v>110730</v>
      </c>
      <c r="AL164" s="918">
        <f t="shared" si="39"/>
        <v>115926.7716535433</v>
      </c>
      <c r="AM164" s="918">
        <f t="shared" si="40"/>
        <v>31300.228346456701</v>
      </c>
      <c r="AN164" s="918">
        <f t="shared" si="41"/>
        <v>-0.22834645670081954</v>
      </c>
    </row>
    <row r="165" spans="1:40" ht="32.25" customHeight="1" x14ac:dyDescent="0.2">
      <c r="A165" s="889" t="s">
        <v>131</v>
      </c>
      <c r="B165" s="289" t="s">
        <v>690</v>
      </c>
      <c r="C165" s="388" t="s">
        <v>766</v>
      </c>
      <c r="D165" s="919"/>
      <c r="E165" s="965">
        <f t="shared" si="37"/>
        <v>635000</v>
      </c>
      <c r="F165" s="965">
        <f t="shared" si="37"/>
        <v>635000</v>
      </c>
      <c r="G165" s="965">
        <f t="shared" si="38"/>
        <v>0</v>
      </c>
      <c r="H165" s="124"/>
      <c r="I165" s="124"/>
      <c r="J165" s="124"/>
      <c r="K165" s="124"/>
      <c r="L165" s="124"/>
      <c r="M165" s="124"/>
      <c r="N165" s="124"/>
      <c r="O165" s="124"/>
      <c r="P165" s="302"/>
      <c r="Q165" s="266">
        <v>500000</v>
      </c>
      <c r="R165" s="124">
        <v>500000</v>
      </c>
      <c r="S165" s="124"/>
      <c r="T165" s="124"/>
      <c r="U165" s="124"/>
      <c r="V165" s="124"/>
      <c r="W165" s="124"/>
      <c r="X165" s="124"/>
      <c r="Y165" s="124"/>
      <c r="Z165" s="124">
        <v>135000</v>
      </c>
      <c r="AA165" s="124">
        <v>135000</v>
      </c>
      <c r="AB165" s="302"/>
      <c r="AC165" s="976">
        <f t="shared" si="36"/>
        <v>635000</v>
      </c>
      <c r="AD165" s="288"/>
      <c r="AE165" s="288"/>
      <c r="AF165" s="288"/>
      <c r="AG165" s="288"/>
      <c r="AH165" s="63" t="s">
        <v>226</v>
      </c>
      <c r="AJ165" s="918">
        <f t="shared" si="42"/>
        <v>635000</v>
      </c>
      <c r="AK165" s="918">
        <f t="shared" si="34"/>
        <v>0</v>
      </c>
      <c r="AL165" s="918">
        <f t="shared" si="39"/>
        <v>0</v>
      </c>
      <c r="AM165" s="918">
        <f t="shared" si="40"/>
        <v>0</v>
      </c>
      <c r="AN165" s="918">
        <f t="shared" si="41"/>
        <v>0</v>
      </c>
    </row>
    <row r="166" spans="1:40" ht="24" customHeight="1" x14ac:dyDescent="0.2">
      <c r="A166" s="897" t="s">
        <v>448</v>
      </c>
      <c r="B166" s="895" t="s">
        <v>484</v>
      </c>
      <c r="C166" s="388" t="s">
        <v>485</v>
      </c>
      <c r="D166" s="919"/>
      <c r="E166" s="965">
        <f t="shared" si="37"/>
        <v>508000</v>
      </c>
      <c r="F166" s="965">
        <f t="shared" si="37"/>
        <v>508000</v>
      </c>
      <c r="G166" s="965">
        <f t="shared" si="38"/>
        <v>0</v>
      </c>
      <c r="H166" s="124"/>
      <c r="I166" s="124"/>
      <c r="J166" s="124"/>
      <c r="K166" s="124"/>
      <c r="L166" s="124"/>
      <c r="M166" s="124"/>
      <c r="N166" s="124">
        <v>200000</v>
      </c>
      <c r="O166" s="124">
        <v>200000</v>
      </c>
      <c r="P166" s="302"/>
      <c r="Q166" s="266">
        <v>200000</v>
      </c>
      <c r="R166" s="124">
        <v>200000</v>
      </c>
      <c r="S166" s="124"/>
      <c r="T166" s="124"/>
      <c r="U166" s="124"/>
      <c r="V166" s="124"/>
      <c r="W166" s="124"/>
      <c r="X166" s="124"/>
      <c r="Y166" s="124"/>
      <c r="Z166" s="124">
        <v>108000</v>
      </c>
      <c r="AA166" s="124">
        <v>108000</v>
      </c>
      <c r="AB166" s="302"/>
      <c r="AC166" s="976">
        <f t="shared" si="36"/>
        <v>508000</v>
      </c>
      <c r="AD166" s="288"/>
      <c r="AE166" s="288"/>
      <c r="AF166" s="288"/>
      <c r="AG166" s="288"/>
      <c r="AH166" s="63" t="s">
        <v>226</v>
      </c>
      <c r="AJ166" s="918">
        <f t="shared" ref="AJ166:AJ184" si="43">SUM(AC166:AG166)</f>
        <v>508000</v>
      </c>
      <c r="AK166" s="918">
        <f t="shared" si="34"/>
        <v>0</v>
      </c>
      <c r="AL166" s="918">
        <f t="shared" si="39"/>
        <v>0</v>
      </c>
      <c r="AM166" s="918">
        <f t="shared" si="40"/>
        <v>0</v>
      </c>
      <c r="AN166" s="918">
        <f t="shared" si="41"/>
        <v>0</v>
      </c>
    </row>
    <row r="167" spans="1:40" ht="24" customHeight="1" x14ac:dyDescent="0.2">
      <c r="A167" s="897" t="s">
        <v>450</v>
      </c>
      <c r="B167" s="895" t="s">
        <v>486</v>
      </c>
      <c r="C167" s="388" t="s">
        <v>487</v>
      </c>
      <c r="D167" s="919"/>
      <c r="E167" s="965">
        <f t="shared" si="37"/>
        <v>635000</v>
      </c>
      <c r="F167" s="965">
        <f t="shared" si="37"/>
        <v>635000</v>
      </c>
      <c r="G167" s="965">
        <f t="shared" si="38"/>
        <v>0</v>
      </c>
      <c r="H167" s="124"/>
      <c r="I167" s="124"/>
      <c r="J167" s="124"/>
      <c r="K167" s="124"/>
      <c r="L167" s="124"/>
      <c r="M167" s="124"/>
      <c r="N167" s="124">
        <v>500000</v>
      </c>
      <c r="O167" s="124">
        <v>500000</v>
      </c>
      <c r="P167" s="302"/>
      <c r="Q167" s="266"/>
      <c r="R167" s="124"/>
      <c r="S167" s="124"/>
      <c r="T167" s="124"/>
      <c r="U167" s="124"/>
      <c r="V167" s="124"/>
      <c r="W167" s="124"/>
      <c r="X167" s="124"/>
      <c r="Y167" s="124"/>
      <c r="Z167" s="124">
        <v>135000</v>
      </c>
      <c r="AA167" s="124">
        <v>135000</v>
      </c>
      <c r="AB167" s="302"/>
      <c r="AC167" s="976">
        <f t="shared" si="36"/>
        <v>635000</v>
      </c>
      <c r="AD167" s="288"/>
      <c r="AE167" s="288"/>
      <c r="AF167" s="288"/>
      <c r="AG167" s="288"/>
      <c r="AH167" s="63" t="s">
        <v>226</v>
      </c>
      <c r="AJ167" s="918">
        <f t="shared" si="43"/>
        <v>635000</v>
      </c>
      <c r="AK167" s="918">
        <f t="shared" si="34"/>
        <v>0</v>
      </c>
      <c r="AL167" s="918">
        <f t="shared" si="39"/>
        <v>0</v>
      </c>
      <c r="AM167" s="918">
        <f t="shared" si="40"/>
        <v>0</v>
      </c>
      <c r="AN167" s="918">
        <f t="shared" si="41"/>
        <v>0</v>
      </c>
    </row>
    <row r="168" spans="1:40" ht="25.15" customHeight="1" x14ac:dyDescent="0.2">
      <c r="A168" s="897" t="s">
        <v>149</v>
      </c>
      <c r="B168" s="895" t="s">
        <v>165</v>
      </c>
      <c r="C168" s="388" t="s">
        <v>167</v>
      </c>
      <c r="D168" s="919"/>
      <c r="E168" s="965">
        <f t="shared" si="37"/>
        <v>698500</v>
      </c>
      <c r="F168" s="965">
        <f t="shared" si="37"/>
        <v>698500</v>
      </c>
      <c r="G168" s="965">
        <f t="shared" si="38"/>
        <v>7290</v>
      </c>
      <c r="H168" s="124"/>
      <c r="I168" s="124"/>
      <c r="J168" s="124"/>
      <c r="K168" s="124"/>
      <c r="L168" s="124"/>
      <c r="M168" s="124"/>
      <c r="N168" s="124">
        <v>250000</v>
      </c>
      <c r="O168" s="124">
        <v>250000</v>
      </c>
      <c r="P168" s="302"/>
      <c r="Q168" s="266">
        <v>300000</v>
      </c>
      <c r="R168" s="124">
        <v>300000</v>
      </c>
      <c r="S168" s="124">
        <v>5741</v>
      </c>
      <c r="T168" s="124"/>
      <c r="U168" s="124"/>
      <c r="V168" s="124"/>
      <c r="W168" s="124"/>
      <c r="X168" s="124"/>
      <c r="Y168" s="124"/>
      <c r="Z168" s="124">
        <v>148500</v>
      </c>
      <c r="AA168" s="124">
        <v>148500</v>
      </c>
      <c r="AB168" s="302">
        <v>1549</v>
      </c>
      <c r="AC168" s="976">
        <f t="shared" si="36"/>
        <v>698500</v>
      </c>
      <c r="AD168" s="288"/>
      <c r="AE168" s="288"/>
      <c r="AF168" s="288"/>
      <c r="AG168" s="288"/>
      <c r="AH168" s="63" t="s">
        <v>225</v>
      </c>
      <c r="AI168" s="8" t="e">
        <f>+AC168+AD168+AF168+#REF!</f>
        <v>#REF!</v>
      </c>
      <c r="AJ168" s="918">
        <f t="shared" si="43"/>
        <v>698500</v>
      </c>
      <c r="AK168" s="918">
        <f t="shared" si="34"/>
        <v>0</v>
      </c>
      <c r="AL168" s="918">
        <f t="shared" si="39"/>
        <v>5740.1574803149606</v>
      </c>
      <c r="AM168" s="918">
        <f t="shared" si="40"/>
        <v>1549.8425196850394</v>
      </c>
      <c r="AN168" s="918">
        <f t="shared" si="41"/>
        <v>-0.84251968503940589</v>
      </c>
    </row>
    <row r="169" spans="1:40" ht="24.75" customHeight="1" x14ac:dyDescent="0.2">
      <c r="A169" s="897" t="s">
        <v>65</v>
      </c>
      <c r="B169" s="895" t="s">
        <v>166</v>
      </c>
      <c r="C169" s="388" t="s">
        <v>1435</v>
      </c>
      <c r="D169" s="919"/>
      <c r="E169" s="965">
        <f t="shared" si="37"/>
        <v>254000</v>
      </c>
      <c r="F169" s="965">
        <f t="shared" si="37"/>
        <v>346342</v>
      </c>
      <c r="G169" s="965">
        <f t="shared" si="38"/>
        <v>287680</v>
      </c>
      <c r="H169" s="124"/>
      <c r="I169" s="124"/>
      <c r="J169" s="124"/>
      <c r="K169" s="124"/>
      <c r="L169" s="124"/>
      <c r="M169" s="124"/>
      <c r="N169" s="124"/>
      <c r="O169" s="124">
        <v>103134</v>
      </c>
      <c r="P169" s="302">
        <v>103134</v>
      </c>
      <c r="Q169" s="266">
        <v>200000</v>
      </c>
      <c r="R169" s="124">
        <v>182047</v>
      </c>
      <c r="S169" s="124">
        <v>123385</v>
      </c>
      <c r="T169" s="124"/>
      <c r="U169" s="124"/>
      <c r="V169" s="124"/>
      <c r="W169" s="124"/>
      <c r="X169" s="124"/>
      <c r="Y169" s="124"/>
      <c r="Z169" s="124">
        <v>54000</v>
      </c>
      <c r="AA169" s="124">
        <f>54000+5736+1425</f>
        <v>61161</v>
      </c>
      <c r="AB169" s="302">
        <v>61161</v>
      </c>
      <c r="AC169" s="976">
        <f t="shared" si="36"/>
        <v>346342</v>
      </c>
      <c r="AD169" s="288"/>
      <c r="AE169" s="288"/>
      <c r="AF169" s="288"/>
      <c r="AG169" s="288"/>
      <c r="AH169" s="63" t="s">
        <v>225</v>
      </c>
      <c r="AI169" s="8" t="e">
        <f>+AC169+AD169+AF169+#REF!</f>
        <v>#REF!</v>
      </c>
      <c r="AJ169" s="918">
        <f t="shared" si="43"/>
        <v>346342</v>
      </c>
      <c r="AK169" s="918">
        <f t="shared" si="34"/>
        <v>92342</v>
      </c>
      <c r="AL169" s="918">
        <f t="shared" si="39"/>
        <v>226519.68503937009</v>
      </c>
      <c r="AM169" s="918">
        <f t="shared" si="40"/>
        <v>61160.314960629912</v>
      </c>
      <c r="AN169" s="918">
        <f t="shared" si="41"/>
        <v>0.68503937008790672</v>
      </c>
    </row>
    <row r="170" spans="1:40" ht="29.25" customHeight="1" x14ac:dyDescent="0.2">
      <c r="A170" s="897" t="s">
        <v>66</v>
      </c>
      <c r="B170" s="895" t="s">
        <v>524</v>
      </c>
      <c r="C170" s="388" t="s">
        <v>169</v>
      </c>
      <c r="D170" s="919"/>
      <c r="E170" s="965">
        <f t="shared" si="37"/>
        <v>0</v>
      </c>
      <c r="F170" s="965">
        <f t="shared" si="37"/>
        <v>0</v>
      </c>
      <c r="G170" s="965">
        <f t="shared" si="38"/>
        <v>0</v>
      </c>
      <c r="H170" s="124"/>
      <c r="I170" s="124"/>
      <c r="J170" s="124"/>
      <c r="K170" s="124"/>
      <c r="L170" s="124"/>
      <c r="M170" s="124"/>
      <c r="N170" s="124"/>
      <c r="O170" s="124"/>
      <c r="P170" s="302"/>
      <c r="Q170" s="266"/>
      <c r="R170" s="124"/>
      <c r="S170" s="124"/>
      <c r="T170" s="124"/>
      <c r="U170" s="124"/>
      <c r="V170" s="124"/>
      <c r="W170" s="124"/>
      <c r="X170" s="124"/>
      <c r="Y170" s="124"/>
      <c r="Z170" s="124"/>
      <c r="AA170" s="124"/>
      <c r="AB170" s="302"/>
      <c r="AC170" s="976">
        <f t="shared" si="36"/>
        <v>0</v>
      </c>
      <c r="AD170" s="288"/>
      <c r="AE170" s="288"/>
      <c r="AF170" s="288"/>
      <c r="AG170" s="288"/>
      <c r="AH170" s="63" t="s">
        <v>225</v>
      </c>
      <c r="AI170" s="8" t="e">
        <f>+AC170+AD170+AF170+#REF!</f>
        <v>#REF!</v>
      </c>
      <c r="AJ170" s="918">
        <f t="shared" si="43"/>
        <v>0</v>
      </c>
      <c r="AK170" s="918">
        <f t="shared" si="34"/>
        <v>0</v>
      </c>
      <c r="AL170" s="918">
        <f t="shared" si="39"/>
        <v>0</v>
      </c>
      <c r="AM170" s="918">
        <f t="shared" si="40"/>
        <v>0</v>
      </c>
      <c r="AN170" s="918">
        <f t="shared" si="41"/>
        <v>0</v>
      </c>
    </row>
    <row r="171" spans="1:40" ht="29.25" customHeight="1" x14ac:dyDescent="0.2">
      <c r="A171" s="897" t="s">
        <v>150</v>
      </c>
      <c r="B171" s="895" t="s">
        <v>524</v>
      </c>
      <c r="C171" s="388" t="s">
        <v>893</v>
      </c>
      <c r="D171" s="919"/>
      <c r="E171" s="965">
        <f t="shared" si="37"/>
        <v>508000</v>
      </c>
      <c r="F171" s="965">
        <f t="shared" si="37"/>
        <v>716280</v>
      </c>
      <c r="G171" s="965">
        <f t="shared" si="38"/>
        <v>609560</v>
      </c>
      <c r="H171" s="124"/>
      <c r="I171" s="124"/>
      <c r="J171" s="124"/>
      <c r="K171" s="124"/>
      <c r="L171" s="124"/>
      <c r="M171" s="124"/>
      <c r="N171" s="124"/>
      <c r="O171" s="124">
        <v>116528</v>
      </c>
      <c r="P171" s="302">
        <v>116528</v>
      </c>
      <c r="Q171" s="266">
        <v>400000</v>
      </c>
      <c r="R171" s="124">
        <v>447472</v>
      </c>
      <c r="S171" s="124">
        <v>363441</v>
      </c>
      <c r="T171" s="124"/>
      <c r="U171" s="124"/>
      <c r="V171" s="124"/>
      <c r="W171" s="124"/>
      <c r="X171" s="124"/>
      <c r="Y171" s="124"/>
      <c r="Z171" s="124">
        <v>108000</v>
      </c>
      <c r="AA171" s="124">
        <f>108000+44280</f>
        <v>152280</v>
      </c>
      <c r="AB171" s="302">
        <v>129591</v>
      </c>
      <c r="AC171" s="976">
        <f t="shared" si="36"/>
        <v>716280</v>
      </c>
      <c r="AD171" s="288"/>
      <c r="AE171" s="288"/>
      <c r="AF171" s="288"/>
      <c r="AG171" s="288"/>
      <c r="AH171" s="63" t="s">
        <v>225</v>
      </c>
      <c r="AI171" s="8" t="e">
        <f>+AC171+AD171+AF171+#REF!</f>
        <v>#REF!</v>
      </c>
      <c r="AJ171" s="918">
        <f t="shared" si="43"/>
        <v>716280</v>
      </c>
      <c r="AK171" s="918">
        <f t="shared" si="34"/>
        <v>208280</v>
      </c>
      <c r="AL171" s="918">
        <f t="shared" si="39"/>
        <v>479968.50393700786</v>
      </c>
      <c r="AM171" s="918">
        <f t="shared" si="40"/>
        <v>129591.49606299214</v>
      </c>
      <c r="AN171" s="918">
        <f t="shared" si="41"/>
        <v>-0.49606299214065075</v>
      </c>
    </row>
    <row r="172" spans="1:40" ht="29.25" customHeight="1" x14ac:dyDescent="0.2">
      <c r="A172" s="897" t="s">
        <v>151</v>
      </c>
      <c r="B172" s="895" t="s">
        <v>524</v>
      </c>
      <c r="C172" s="388" t="s">
        <v>170</v>
      </c>
      <c r="D172" s="919"/>
      <c r="E172" s="965">
        <f t="shared" si="37"/>
        <v>0</v>
      </c>
      <c r="F172" s="965">
        <f t="shared" si="37"/>
        <v>0</v>
      </c>
      <c r="G172" s="965">
        <f t="shared" si="38"/>
        <v>0</v>
      </c>
      <c r="H172" s="124"/>
      <c r="I172" s="124"/>
      <c r="J172" s="124"/>
      <c r="K172" s="124"/>
      <c r="L172" s="124"/>
      <c r="M172" s="124"/>
      <c r="N172" s="124"/>
      <c r="O172" s="124"/>
      <c r="P172" s="302"/>
      <c r="Q172" s="266"/>
      <c r="R172" s="124"/>
      <c r="S172" s="124"/>
      <c r="T172" s="124"/>
      <c r="U172" s="124"/>
      <c r="V172" s="124"/>
      <c r="W172" s="124"/>
      <c r="X172" s="124"/>
      <c r="Y172" s="124"/>
      <c r="Z172" s="124"/>
      <c r="AA172" s="124"/>
      <c r="AB172" s="302"/>
      <c r="AC172" s="976">
        <f t="shared" si="36"/>
        <v>0</v>
      </c>
      <c r="AD172" s="288"/>
      <c r="AE172" s="288"/>
      <c r="AF172" s="288"/>
      <c r="AG172" s="288"/>
      <c r="AH172" s="63" t="s">
        <v>225</v>
      </c>
      <c r="AI172" s="8" t="e">
        <f>+AC172+AD172+AF172+#REF!</f>
        <v>#REF!</v>
      </c>
      <c r="AJ172" s="918">
        <f t="shared" si="43"/>
        <v>0</v>
      </c>
      <c r="AK172" s="918">
        <f t="shared" si="34"/>
        <v>0</v>
      </c>
      <c r="AL172" s="918">
        <f t="shared" si="39"/>
        <v>0</v>
      </c>
      <c r="AM172" s="918">
        <f t="shared" si="40"/>
        <v>0</v>
      </c>
      <c r="AN172" s="918">
        <f t="shared" si="41"/>
        <v>0</v>
      </c>
    </row>
    <row r="173" spans="1:40" ht="22.5" customHeight="1" x14ac:dyDescent="0.2">
      <c r="A173" s="897" t="s">
        <v>162</v>
      </c>
      <c r="B173" s="289" t="s">
        <v>525</v>
      </c>
      <c r="C173" s="388" t="s">
        <v>171</v>
      </c>
      <c r="D173" s="919"/>
      <c r="E173" s="965">
        <f t="shared" si="37"/>
        <v>0</v>
      </c>
      <c r="F173" s="965">
        <f t="shared" si="37"/>
        <v>0</v>
      </c>
      <c r="G173" s="965">
        <f t="shared" si="38"/>
        <v>0</v>
      </c>
      <c r="H173" s="124"/>
      <c r="I173" s="124"/>
      <c r="J173" s="124"/>
      <c r="K173" s="124"/>
      <c r="L173" s="124"/>
      <c r="M173" s="124"/>
      <c r="N173" s="124"/>
      <c r="O173" s="124"/>
      <c r="P173" s="302"/>
      <c r="Q173" s="266"/>
      <c r="R173" s="124"/>
      <c r="S173" s="124"/>
      <c r="T173" s="124"/>
      <c r="U173" s="124"/>
      <c r="V173" s="124"/>
      <c r="W173" s="124"/>
      <c r="X173" s="124"/>
      <c r="Y173" s="124"/>
      <c r="Z173" s="124"/>
      <c r="AA173" s="124"/>
      <c r="AB173" s="302"/>
      <c r="AC173" s="976">
        <f t="shared" si="36"/>
        <v>0</v>
      </c>
      <c r="AD173" s="288"/>
      <c r="AE173" s="288"/>
      <c r="AF173" s="288"/>
      <c r="AG173" s="288"/>
      <c r="AH173" s="63" t="s">
        <v>225</v>
      </c>
      <c r="AI173" s="8" t="e">
        <f>+AC173+AD173+AF173+#REF!</f>
        <v>#REF!</v>
      </c>
      <c r="AJ173" s="918">
        <f t="shared" si="43"/>
        <v>0</v>
      </c>
      <c r="AK173" s="918">
        <f t="shared" si="34"/>
        <v>0</v>
      </c>
      <c r="AL173" s="918">
        <f t="shared" si="39"/>
        <v>0</v>
      </c>
      <c r="AM173" s="918">
        <f t="shared" si="40"/>
        <v>0</v>
      </c>
      <c r="AN173" s="918">
        <f t="shared" si="41"/>
        <v>0</v>
      </c>
    </row>
    <row r="174" spans="1:40" ht="24.75" customHeight="1" x14ac:dyDescent="0.2">
      <c r="A174" s="897" t="s">
        <v>147</v>
      </c>
      <c r="B174" s="895" t="s">
        <v>172</v>
      </c>
      <c r="C174" s="388" t="s">
        <v>562</v>
      </c>
      <c r="D174" s="919"/>
      <c r="E174" s="965">
        <f t="shared" si="37"/>
        <v>2222500</v>
      </c>
      <c r="F174" s="965">
        <f t="shared" si="37"/>
        <v>2563288</v>
      </c>
      <c r="G174" s="965">
        <f t="shared" si="38"/>
        <v>1995003</v>
      </c>
      <c r="H174" s="124">
        <v>100000</v>
      </c>
      <c r="I174" s="124">
        <v>100000</v>
      </c>
      <c r="J174" s="124"/>
      <c r="K174" s="124"/>
      <c r="L174" s="124"/>
      <c r="M174" s="124"/>
      <c r="N174" s="124">
        <v>650000</v>
      </c>
      <c r="O174" s="124">
        <v>650000</v>
      </c>
      <c r="P174" s="302">
        <v>536535</v>
      </c>
      <c r="Q174" s="266">
        <v>1000000</v>
      </c>
      <c r="R174" s="124">
        <v>1268337</v>
      </c>
      <c r="S174" s="124">
        <v>1034327</v>
      </c>
      <c r="T174" s="124"/>
      <c r="U174" s="124"/>
      <c r="V174" s="124"/>
      <c r="W174" s="124"/>
      <c r="X174" s="124"/>
      <c r="Y174" s="124"/>
      <c r="Z174" s="124">
        <v>472500</v>
      </c>
      <c r="AA174" s="124">
        <v>544951</v>
      </c>
      <c r="AB174" s="302">
        <v>424141</v>
      </c>
      <c r="AC174" s="976">
        <f t="shared" si="36"/>
        <v>2563288</v>
      </c>
      <c r="AD174" s="288"/>
      <c r="AE174" s="288"/>
      <c r="AF174" s="288"/>
      <c r="AG174" s="288"/>
      <c r="AH174" s="63" t="s">
        <v>225</v>
      </c>
      <c r="AI174" s="8" t="e">
        <f>+AC174+AD174+AF174+#REF!</f>
        <v>#REF!</v>
      </c>
      <c r="AJ174" s="918">
        <f t="shared" si="43"/>
        <v>2563288</v>
      </c>
      <c r="AK174" s="918">
        <f t="shared" si="34"/>
        <v>340788</v>
      </c>
      <c r="AL174" s="918">
        <f t="shared" si="39"/>
        <v>1570868.5039370079</v>
      </c>
      <c r="AM174" s="918">
        <f t="shared" si="40"/>
        <v>424134.49606299214</v>
      </c>
      <c r="AN174" s="918">
        <f t="shared" si="41"/>
        <v>6.5039370078593493</v>
      </c>
    </row>
    <row r="175" spans="1:40" ht="33" customHeight="1" x14ac:dyDescent="0.2">
      <c r="A175" s="897" t="s">
        <v>130</v>
      </c>
      <c r="B175" s="895" t="s">
        <v>897</v>
      </c>
      <c r="C175" s="388" t="s">
        <v>1009</v>
      </c>
      <c r="D175" s="919"/>
      <c r="E175" s="965">
        <f t="shared" si="37"/>
        <v>340528</v>
      </c>
      <c r="F175" s="965">
        <f t="shared" si="37"/>
        <v>436247</v>
      </c>
      <c r="G175" s="965">
        <f t="shared" si="38"/>
        <v>425021</v>
      </c>
      <c r="H175" s="124"/>
      <c r="I175" s="124"/>
      <c r="J175" s="124"/>
      <c r="K175" s="124"/>
      <c r="L175" s="124"/>
      <c r="M175" s="124"/>
      <c r="N175" s="124">
        <v>268132</v>
      </c>
      <c r="O175" s="124">
        <v>160754</v>
      </c>
      <c r="P175" s="302">
        <v>149528</v>
      </c>
      <c r="Q175" s="266"/>
      <c r="R175" s="124">
        <v>185134</v>
      </c>
      <c r="S175" s="124">
        <v>185134</v>
      </c>
      <c r="T175" s="124"/>
      <c r="U175" s="124"/>
      <c r="V175" s="124"/>
      <c r="W175" s="124"/>
      <c r="X175" s="124"/>
      <c r="Y175" s="124"/>
      <c r="Z175" s="124">
        <v>72396</v>
      </c>
      <c r="AA175" s="124">
        <v>90359</v>
      </c>
      <c r="AB175" s="302">
        <v>90359</v>
      </c>
      <c r="AC175" s="976">
        <f t="shared" si="36"/>
        <v>436247</v>
      </c>
      <c r="AD175" s="288"/>
      <c r="AE175" s="288"/>
      <c r="AF175" s="288"/>
      <c r="AG175" s="288"/>
      <c r="AH175" s="63" t="s">
        <v>225</v>
      </c>
      <c r="AJ175" s="918"/>
      <c r="AK175" s="918"/>
      <c r="AL175" s="918">
        <f t="shared" si="39"/>
        <v>334662.20472440944</v>
      </c>
      <c r="AM175" s="918">
        <f t="shared" si="40"/>
        <v>90358.795275590557</v>
      </c>
      <c r="AN175" s="918">
        <f t="shared" si="41"/>
        <v>0.20472440944286063</v>
      </c>
    </row>
    <row r="176" spans="1:40" ht="24.75" customHeight="1" x14ac:dyDescent="0.2">
      <c r="A176" s="897" t="s">
        <v>90</v>
      </c>
      <c r="B176" s="895" t="s">
        <v>564</v>
      </c>
      <c r="C176" s="388" t="s">
        <v>563</v>
      </c>
      <c r="D176" s="919"/>
      <c r="E176" s="965">
        <f t="shared" si="37"/>
        <v>1130300</v>
      </c>
      <c r="F176" s="965">
        <f t="shared" si="37"/>
        <v>2235200</v>
      </c>
      <c r="G176" s="965">
        <f>+J176+M176+P176+S176+V176+Y176+AB176</f>
        <v>1734750</v>
      </c>
      <c r="H176" s="124">
        <v>100000</v>
      </c>
      <c r="I176" s="124">
        <v>72107</v>
      </c>
      <c r="J176" s="124"/>
      <c r="K176" s="124"/>
      <c r="L176" s="124"/>
      <c r="M176" s="124"/>
      <c r="N176" s="124">
        <v>440000</v>
      </c>
      <c r="O176" s="124">
        <v>318208</v>
      </c>
      <c r="P176" s="302"/>
      <c r="Q176" s="266">
        <v>350000</v>
      </c>
      <c r="R176" s="124">
        <v>1369685</v>
      </c>
      <c r="S176" s="124">
        <v>1369685</v>
      </c>
      <c r="T176" s="124"/>
      <c r="U176" s="124"/>
      <c r="V176" s="124"/>
      <c r="W176" s="124"/>
      <c r="X176" s="124"/>
      <c r="Y176" s="124"/>
      <c r="Z176" s="124">
        <v>240300</v>
      </c>
      <c r="AA176" s="124">
        <v>475200</v>
      </c>
      <c r="AB176" s="302">
        <v>365065</v>
      </c>
      <c r="AC176" s="976">
        <f t="shared" si="36"/>
        <v>2235200</v>
      </c>
      <c r="AD176" s="288"/>
      <c r="AE176" s="288"/>
      <c r="AF176" s="288"/>
      <c r="AG176" s="288"/>
      <c r="AH176" s="63" t="s">
        <v>225</v>
      </c>
      <c r="AI176" s="8" t="e">
        <f>+AC176+AD176+AF176+#REF!</f>
        <v>#REF!</v>
      </c>
      <c r="AJ176" s="918">
        <f t="shared" si="43"/>
        <v>2235200</v>
      </c>
      <c r="AK176" s="918">
        <f t="shared" si="34"/>
        <v>1104900</v>
      </c>
      <c r="AL176" s="918">
        <f t="shared" si="39"/>
        <v>1365944.8818897638</v>
      </c>
      <c r="AM176" s="918">
        <f t="shared" si="40"/>
        <v>368805.11811023625</v>
      </c>
      <c r="AN176" s="918">
        <f t="shared" si="41"/>
        <v>-3740.1181102362461</v>
      </c>
    </row>
    <row r="177" spans="1:40" ht="31.5" customHeight="1" x14ac:dyDescent="0.2">
      <c r="A177" s="897" t="s">
        <v>128</v>
      </c>
      <c r="B177" s="895" t="s">
        <v>526</v>
      </c>
      <c r="C177" s="388" t="s">
        <v>1010</v>
      </c>
      <c r="D177" s="919"/>
      <c r="E177" s="965">
        <f t="shared" si="37"/>
        <v>5148517</v>
      </c>
      <c r="F177" s="965">
        <f t="shared" si="37"/>
        <v>5148517</v>
      </c>
      <c r="G177" s="965">
        <f t="shared" si="38"/>
        <v>3797836</v>
      </c>
      <c r="H177" s="124">
        <v>25000</v>
      </c>
      <c r="I177" s="124">
        <v>5315</v>
      </c>
      <c r="J177" s="124"/>
      <c r="K177" s="124"/>
      <c r="L177" s="124"/>
      <c r="M177" s="124"/>
      <c r="N177" s="124">
        <v>150000</v>
      </c>
      <c r="O177" s="124">
        <v>369685</v>
      </c>
      <c r="P177" s="302">
        <v>369685</v>
      </c>
      <c r="Q177" s="266">
        <f>+(1400000)+2478951</f>
        <v>3878951</v>
      </c>
      <c r="R177" s="124">
        <v>3678951</v>
      </c>
      <c r="S177" s="124">
        <v>2620736</v>
      </c>
      <c r="T177" s="124"/>
      <c r="U177" s="124"/>
      <c r="V177" s="124"/>
      <c r="W177" s="124"/>
      <c r="X177" s="124"/>
      <c r="Y177" s="124"/>
      <c r="Z177" s="124">
        <f>+(425250)+669316</f>
        <v>1094566</v>
      </c>
      <c r="AA177" s="124">
        <f>+(425250)+669316</f>
        <v>1094566</v>
      </c>
      <c r="AB177" s="302">
        <v>807415</v>
      </c>
      <c r="AC177" s="976">
        <f t="shared" si="36"/>
        <v>5148517</v>
      </c>
      <c r="AD177" s="288"/>
      <c r="AE177" s="288"/>
      <c r="AF177" s="288"/>
      <c r="AG177" s="288"/>
      <c r="AH177" s="63" t="s">
        <v>225</v>
      </c>
      <c r="AJ177" s="918">
        <f t="shared" si="43"/>
        <v>5148517</v>
      </c>
      <c r="AK177" s="918">
        <f t="shared" si="34"/>
        <v>0</v>
      </c>
      <c r="AL177" s="918">
        <f t="shared" si="39"/>
        <v>2990422.0472440943</v>
      </c>
      <c r="AM177" s="918">
        <f t="shared" si="40"/>
        <v>807413.95275590569</v>
      </c>
      <c r="AN177" s="918">
        <f t="shared" si="41"/>
        <v>1.047244094312191</v>
      </c>
    </row>
    <row r="178" spans="1:40" ht="25.5" customHeight="1" x14ac:dyDescent="0.2">
      <c r="A178" s="889" t="s">
        <v>147</v>
      </c>
      <c r="B178" s="289" t="s">
        <v>602</v>
      </c>
      <c r="C178" s="388" t="s">
        <v>603</v>
      </c>
      <c r="D178" s="919"/>
      <c r="E178" s="965">
        <f t="shared" si="37"/>
        <v>127000</v>
      </c>
      <c r="F178" s="965">
        <f t="shared" si="37"/>
        <v>127000</v>
      </c>
      <c r="G178" s="965">
        <f t="shared" si="38"/>
        <v>7290</v>
      </c>
      <c r="H178" s="124"/>
      <c r="I178" s="124"/>
      <c r="J178" s="124"/>
      <c r="K178" s="124"/>
      <c r="L178" s="124"/>
      <c r="M178" s="124"/>
      <c r="N178" s="124"/>
      <c r="O178" s="124"/>
      <c r="P178" s="302"/>
      <c r="Q178" s="266">
        <v>100000</v>
      </c>
      <c r="R178" s="124">
        <v>100000</v>
      </c>
      <c r="S178" s="124">
        <v>5740</v>
      </c>
      <c r="T178" s="124"/>
      <c r="U178" s="124"/>
      <c r="V178" s="124"/>
      <c r="W178" s="124"/>
      <c r="X178" s="124"/>
      <c r="Y178" s="124"/>
      <c r="Z178" s="124">
        <v>27000</v>
      </c>
      <c r="AA178" s="124">
        <v>27000</v>
      </c>
      <c r="AB178" s="302">
        <v>1550</v>
      </c>
      <c r="AC178" s="976">
        <f t="shared" si="36"/>
        <v>127000</v>
      </c>
      <c r="AD178" s="288"/>
      <c r="AE178" s="288"/>
      <c r="AF178" s="288"/>
      <c r="AG178" s="288"/>
      <c r="AH178" s="63" t="s">
        <v>226</v>
      </c>
      <c r="AJ178" s="918">
        <f t="shared" si="43"/>
        <v>127000</v>
      </c>
      <c r="AK178" s="918">
        <f t="shared" si="34"/>
        <v>0</v>
      </c>
      <c r="AL178" s="918">
        <f t="shared" si="39"/>
        <v>5740.1574803149606</v>
      </c>
      <c r="AM178" s="918">
        <f t="shared" si="40"/>
        <v>1549.8425196850394</v>
      </c>
      <c r="AN178" s="918">
        <f t="shared" si="41"/>
        <v>0.15748031496059411</v>
      </c>
    </row>
    <row r="179" spans="1:40" ht="24.75" customHeight="1" x14ac:dyDescent="0.2">
      <c r="A179" s="897" t="s">
        <v>90</v>
      </c>
      <c r="B179" s="895" t="s">
        <v>161</v>
      </c>
      <c r="C179" s="388" t="s">
        <v>527</v>
      </c>
      <c r="D179" s="919"/>
      <c r="E179" s="965">
        <f t="shared" si="37"/>
        <v>1524000</v>
      </c>
      <c r="F179" s="965">
        <f t="shared" si="37"/>
        <v>1524000</v>
      </c>
      <c r="G179" s="965">
        <f t="shared" si="38"/>
        <v>1099321</v>
      </c>
      <c r="H179" s="124"/>
      <c r="I179" s="124"/>
      <c r="J179" s="124"/>
      <c r="K179" s="124"/>
      <c r="L179" s="124"/>
      <c r="M179" s="124"/>
      <c r="N179" s="124">
        <v>700000</v>
      </c>
      <c r="O179" s="124">
        <v>700000</v>
      </c>
      <c r="P179" s="302">
        <v>563216</v>
      </c>
      <c r="Q179" s="266">
        <v>500000</v>
      </c>
      <c r="R179" s="124">
        <v>500000</v>
      </c>
      <c r="S179" s="124">
        <v>302390</v>
      </c>
      <c r="T179" s="124"/>
      <c r="U179" s="124"/>
      <c r="V179" s="124"/>
      <c r="W179" s="124"/>
      <c r="X179" s="124"/>
      <c r="Y179" s="124"/>
      <c r="Z179" s="124">
        <v>324000</v>
      </c>
      <c r="AA179" s="124">
        <v>324000</v>
      </c>
      <c r="AB179" s="302">
        <v>233715</v>
      </c>
      <c r="AC179" s="976">
        <f t="shared" si="36"/>
        <v>1524000</v>
      </c>
      <c r="AD179" s="288"/>
      <c r="AE179" s="288"/>
      <c r="AF179" s="288"/>
      <c r="AG179" s="288"/>
      <c r="AH179" s="63" t="s">
        <v>225</v>
      </c>
      <c r="AI179" s="8" t="e">
        <f>+AC179+AD179+AF179+#REF!</f>
        <v>#REF!</v>
      </c>
      <c r="AJ179" s="918">
        <f t="shared" si="43"/>
        <v>1524000</v>
      </c>
      <c r="AK179" s="918">
        <f t="shared" si="34"/>
        <v>0</v>
      </c>
      <c r="AL179" s="918">
        <f t="shared" si="39"/>
        <v>865607.08661417325</v>
      </c>
      <c r="AM179" s="918">
        <f t="shared" si="40"/>
        <v>233713.91338582675</v>
      </c>
      <c r="AN179" s="918">
        <f t="shared" si="41"/>
        <v>1.0866141732549295</v>
      </c>
    </row>
    <row r="180" spans="1:40" ht="24.75" customHeight="1" x14ac:dyDescent="0.2">
      <c r="A180" s="897" t="s">
        <v>147</v>
      </c>
      <c r="B180" s="895" t="s">
        <v>749</v>
      </c>
      <c r="C180" s="388" t="s">
        <v>527</v>
      </c>
      <c r="D180" s="919"/>
      <c r="E180" s="965">
        <f t="shared" si="37"/>
        <v>127000</v>
      </c>
      <c r="F180" s="965">
        <f t="shared" si="37"/>
        <v>127000</v>
      </c>
      <c r="G180" s="965">
        <f t="shared" si="38"/>
        <v>0</v>
      </c>
      <c r="H180" s="124"/>
      <c r="I180" s="124"/>
      <c r="J180" s="124"/>
      <c r="K180" s="124"/>
      <c r="L180" s="124"/>
      <c r="M180" s="124"/>
      <c r="N180" s="124"/>
      <c r="O180" s="124"/>
      <c r="P180" s="302"/>
      <c r="Q180" s="266">
        <v>100000</v>
      </c>
      <c r="R180" s="124">
        <v>100000</v>
      </c>
      <c r="S180" s="124"/>
      <c r="T180" s="124"/>
      <c r="U180" s="124"/>
      <c r="V180" s="124"/>
      <c r="W180" s="124"/>
      <c r="X180" s="124"/>
      <c r="Y180" s="124"/>
      <c r="Z180" s="124">
        <v>27000</v>
      </c>
      <c r="AA180" s="124">
        <v>27000</v>
      </c>
      <c r="AB180" s="302"/>
      <c r="AC180" s="976">
        <f t="shared" si="36"/>
        <v>127000</v>
      </c>
      <c r="AD180" s="288"/>
      <c r="AE180" s="288"/>
      <c r="AF180" s="288"/>
      <c r="AG180" s="288"/>
      <c r="AH180" s="63" t="s">
        <v>225</v>
      </c>
      <c r="AJ180" s="918"/>
      <c r="AK180" s="918"/>
      <c r="AL180" s="918">
        <f t="shared" si="39"/>
        <v>0</v>
      </c>
      <c r="AM180" s="918">
        <f t="shared" si="40"/>
        <v>0</v>
      </c>
      <c r="AN180" s="918">
        <f t="shared" si="41"/>
        <v>0</v>
      </c>
    </row>
    <row r="181" spans="1:40" ht="24.75" customHeight="1" x14ac:dyDescent="0.2">
      <c r="A181" s="897" t="s">
        <v>148</v>
      </c>
      <c r="B181" s="114">
        <v>104042</v>
      </c>
      <c r="C181" s="388" t="s">
        <v>528</v>
      </c>
      <c r="D181" s="919"/>
      <c r="E181" s="965">
        <f t="shared" si="37"/>
        <v>0</v>
      </c>
      <c r="F181" s="965">
        <f t="shared" si="37"/>
        <v>0</v>
      </c>
      <c r="G181" s="965">
        <f t="shared" si="38"/>
        <v>0</v>
      </c>
      <c r="H181" s="124"/>
      <c r="I181" s="124"/>
      <c r="J181" s="124"/>
      <c r="K181" s="124"/>
      <c r="L181" s="124"/>
      <c r="M181" s="124"/>
      <c r="N181" s="124"/>
      <c r="O181" s="124"/>
      <c r="P181" s="302"/>
      <c r="Q181" s="266"/>
      <c r="R181" s="124"/>
      <c r="S181" s="124"/>
      <c r="T181" s="124"/>
      <c r="U181" s="124"/>
      <c r="V181" s="124"/>
      <c r="W181" s="124"/>
      <c r="X181" s="124"/>
      <c r="Y181" s="124"/>
      <c r="Z181" s="124"/>
      <c r="AA181" s="124"/>
      <c r="AB181" s="302"/>
      <c r="AC181" s="976">
        <f t="shared" si="36"/>
        <v>0</v>
      </c>
      <c r="AD181" s="288"/>
      <c r="AE181" s="288"/>
      <c r="AF181" s="288"/>
      <c r="AG181" s="288"/>
      <c r="AH181" s="63" t="s">
        <v>225</v>
      </c>
      <c r="AJ181" s="918"/>
      <c r="AK181" s="918"/>
      <c r="AL181" s="918">
        <f t="shared" si="39"/>
        <v>0</v>
      </c>
      <c r="AM181" s="918">
        <f t="shared" si="40"/>
        <v>0</v>
      </c>
      <c r="AN181" s="918">
        <f t="shared" si="41"/>
        <v>0</v>
      </c>
    </row>
    <row r="182" spans="1:40" ht="24.75" customHeight="1" x14ac:dyDescent="0.2">
      <c r="A182" s="940" t="s">
        <v>129</v>
      </c>
      <c r="B182" s="144">
        <v>104042</v>
      </c>
      <c r="C182" s="332" t="s">
        <v>793</v>
      </c>
      <c r="D182" s="942"/>
      <c r="E182" s="966">
        <f t="shared" si="37"/>
        <v>200000</v>
      </c>
      <c r="F182" s="966">
        <f t="shared" si="37"/>
        <v>200000</v>
      </c>
      <c r="G182" s="965">
        <f t="shared" si="38"/>
        <v>19980</v>
      </c>
      <c r="H182" s="141"/>
      <c r="I182" s="141"/>
      <c r="J182" s="141"/>
      <c r="K182" s="141"/>
      <c r="L182" s="141"/>
      <c r="M182" s="141"/>
      <c r="N182" s="141"/>
      <c r="O182" s="141"/>
      <c r="P182" s="328"/>
      <c r="Q182" s="325">
        <v>157480</v>
      </c>
      <c r="R182" s="141">
        <v>157480</v>
      </c>
      <c r="S182" s="141">
        <v>15732</v>
      </c>
      <c r="T182" s="141"/>
      <c r="U182" s="141"/>
      <c r="V182" s="141"/>
      <c r="W182" s="141"/>
      <c r="X182" s="141"/>
      <c r="Y182" s="141"/>
      <c r="Z182" s="141">
        <v>42520</v>
      </c>
      <c r="AA182" s="141">
        <v>42520</v>
      </c>
      <c r="AB182" s="328">
        <v>4248</v>
      </c>
      <c r="AC182" s="976">
        <f t="shared" si="36"/>
        <v>200000</v>
      </c>
      <c r="AD182" s="285"/>
      <c r="AE182" s="285"/>
      <c r="AF182" s="285"/>
      <c r="AG182" s="285"/>
      <c r="AH182" s="162" t="s">
        <v>225</v>
      </c>
      <c r="AI182" s="8" t="e">
        <f>+AC182+AD182+AF182+#REF!</f>
        <v>#REF!</v>
      </c>
      <c r="AJ182" s="918">
        <f t="shared" si="43"/>
        <v>200000</v>
      </c>
      <c r="AK182" s="918">
        <f>+AJ182-E182</f>
        <v>0</v>
      </c>
      <c r="AL182" s="918">
        <f t="shared" si="39"/>
        <v>15732.283464566928</v>
      </c>
      <c r="AM182" s="918">
        <f t="shared" si="40"/>
        <v>4247.7165354330718</v>
      </c>
      <c r="AN182" s="918">
        <f t="shared" si="41"/>
        <v>0.28346456692815991</v>
      </c>
    </row>
    <row r="183" spans="1:40" ht="19.5" customHeight="1" x14ac:dyDescent="0.2">
      <c r="A183" s="1205" t="s">
        <v>26</v>
      </c>
      <c r="B183" s="1206"/>
      <c r="C183" s="1207"/>
      <c r="D183" s="957"/>
      <c r="E183" s="278">
        <f>+E144</f>
        <v>60859015</v>
      </c>
      <c r="F183" s="278">
        <f t="shared" ref="F183:AG183" si="44">+F144</f>
        <v>93657133</v>
      </c>
      <c r="G183" s="278">
        <f t="shared" si="44"/>
        <v>51432921</v>
      </c>
      <c r="H183" s="278">
        <f t="shared" si="44"/>
        <v>1525000</v>
      </c>
      <c r="I183" s="278">
        <f t="shared" si="44"/>
        <v>1477422</v>
      </c>
      <c r="J183" s="278">
        <f t="shared" si="44"/>
        <v>114094</v>
      </c>
      <c r="K183" s="278">
        <f t="shared" si="44"/>
        <v>0</v>
      </c>
      <c r="L183" s="278">
        <f t="shared" si="44"/>
        <v>0</v>
      </c>
      <c r="M183" s="278">
        <f t="shared" si="44"/>
        <v>0</v>
      </c>
      <c r="N183" s="278">
        <f t="shared" si="44"/>
        <v>13292132</v>
      </c>
      <c r="O183" s="278">
        <f t="shared" si="44"/>
        <v>13444328</v>
      </c>
      <c r="P183" s="311">
        <f t="shared" si="44"/>
        <v>8328446</v>
      </c>
      <c r="Q183" s="310">
        <f t="shared" si="44"/>
        <v>33252171</v>
      </c>
      <c r="R183" s="278">
        <f t="shared" si="44"/>
        <v>59112548</v>
      </c>
      <c r="S183" s="278">
        <f t="shared" si="44"/>
        <v>32139064</v>
      </c>
      <c r="T183" s="278">
        <f t="shared" si="44"/>
        <v>0</v>
      </c>
      <c r="U183" s="278">
        <f t="shared" si="44"/>
        <v>0</v>
      </c>
      <c r="V183" s="278">
        <f t="shared" si="44"/>
        <v>0</v>
      </c>
      <c r="W183" s="278">
        <f t="shared" si="44"/>
        <v>0</v>
      </c>
      <c r="X183" s="278">
        <f t="shared" si="44"/>
        <v>0</v>
      </c>
      <c r="Y183" s="278">
        <f t="shared" si="44"/>
        <v>0</v>
      </c>
      <c r="Z183" s="278">
        <f t="shared" si="44"/>
        <v>12789712</v>
      </c>
      <c r="AA183" s="278">
        <f t="shared" si="44"/>
        <v>19622835</v>
      </c>
      <c r="AB183" s="311">
        <f t="shared" si="44"/>
        <v>10851317</v>
      </c>
      <c r="AC183" s="310">
        <f>+AC144</f>
        <v>93657133</v>
      </c>
      <c r="AD183" s="278">
        <f t="shared" si="44"/>
        <v>0</v>
      </c>
      <c r="AE183" s="278">
        <f t="shared" si="44"/>
        <v>0</v>
      </c>
      <c r="AF183" s="278">
        <f t="shared" si="44"/>
        <v>0</v>
      </c>
      <c r="AG183" s="278">
        <f t="shared" si="44"/>
        <v>0</v>
      </c>
      <c r="AH183" s="881"/>
      <c r="AI183" s="8" t="e">
        <f>+AC183+AD183+AF183+#REF!</f>
        <v>#REF!</v>
      </c>
      <c r="AJ183" s="918">
        <f t="shared" si="43"/>
        <v>93657133</v>
      </c>
      <c r="AK183" s="918">
        <f>+AJ183-E183</f>
        <v>32798118</v>
      </c>
      <c r="AL183" s="918">
        <f t="shared" si="39"/>
        <v>40498362.992125981</v>
      </c>
      <c r="AM183" s="918">
        <f t="shared" si="40"/>
        <v>10934558.007874019</v>
      </c>
      <c r="AN183" s="918">
        <f t="shared" si="41"/>
        <v>-83241.007874019444</v>
      </c>
    </row>
    <row r="184" spans="1:40" ht="30.75" customHeight="1" x14ac:dyDescent="0.25">
      <c r="A184" s="1205" t="s">
        <v>29</v>
      </c>
      <c r="B184" s="1206"/>
      <c r="C184" s="1207"/>
      <c r="D184" s="970"/>
      <c r="E184" s="903">
        <f>+E183+E143</f>
        <v>1834448550</v>
      </c>
      <c r="F184" s="903">
        <f>+F183+F143</f>
        <v>2057444045</v>
      </c>
      <c r="G184" s="903">
        <f>+G183+G143</f>
        <v>1014657378</v>
      </c>
      <c r="H184" s="903">
        <f t="shared" ref="H184:AG184" si="45">+H183+H143</f>
        <v>2635000</v>
      </c>
      <c r="I184" s="903">
        <f t="shared" si="45"/>
        <v>2587422</v>
      </c>
      <c r="J184" s="903">
        <f>+J183+J143</f>
        <v>114094</v>
      </c>
      <c r="K184" s="903">
        <f t="shared" si="45"/>
        <v>1383876810</v>
      </c>
      <c r="L184" s="903">
        <f t="shared" si="45"/>
        <v>1727981380</v>
      </c>
      <c r="M184" s="903">
        <f t="shared" si="45"/>
        <v>814913984</v>
      </c>
      <c r="N184" s="903">
        <f t="shared" si="45"/>
        <v>13792132</v>
      </c>
      <c r="O184" s="903">
        <f t="shared" si="45"/>
        <v>14033769</v>
      </c>
      <c r="P184" s="904">
        <f t="shared" si="45"/>
        <v>8821816</v>
      </c>
      <c r="Q184" s="905">
        <f t="shared" si="45"/>
        <v>59183890</v>
      </c>
      <c r="R184" s="903">
        <f t="shared" si="45"/>
        <v>121980075</v>
      </c>
      <c r="S184" s="903">
        <f t="shared" si="45"/>
        <v>89191729</v>
      </c>
      <c r="T184" s="903">
        <f t="shared" si="45"/>
        <v>0</v>
      </c>
      <c r="U184" s="903">
        <f t="shared" si="45"/>
        <v>0</v>
      </c>
      <c r="V184" s="903">
        <f t="shared" si="45"/>
        <v>0</v>
      </c>
      <c r="W184" s="903">
        <f t="shared" si="45"/>
        <v>0</v>
      </c>
      <c r="X184" s="903">
        <f t="shared" si="45"/>
        <v>0</v>
      </c>
      <c r="Y184" s="903">
        <f t="shared" si="45"/>
        <v>0</v>
      </c>
      <c r="Z184" s="903">
        <f t="shared" si="45"/>
        <v>374960718</v>
      </c>
      <c r="AA184" s="903">
        <f t="shared" si="45"/>
        <v>190861399</v>
      </c>
      <c r="AB184" s="904">
        <f t="shared" si="45"/>
        <v>101615755</v>
      </c>
      <c r="AC184" s="905">
        <f>+AC183+AC143</f>
        <v>1368827016</v>
      </c>
      <c r="AD184" s="903">
        <f t="shared" si="45"/>
        <v>41418264</v>
      </c>
      <c r="AE184" s="903">
        <f>+AE183+AE143</f>
        <v>647198765</v>
      </c>
      <c r="AF184" s="903">
        <f t="shared" si="45"/>
        <v>0</v>
      </c>
      <c r="AG184" s="903">
        <f t="shared" si="45"/>
        <v>885879500</v>
      </c>
      <c r="AH184" s="971"/>
      <c r="AI184" s="8" t="e">
        <f>+AC184+AD184+AF184+#REF!</f>
        <v>#REF!</v>
      </c>
      <c r="AJ184" s="918">
        <f t="shared" si="43"/>
        <v>2943323545</v>
      </c>
      <c r="AK184" s="918">
        <f>+AJ184-E184</f>
        <v>1108874995</v>
      </c>
      <c r="AL184" s="918">
        <f t="shared" si="39"/>
        <v>798942817.32283461</v>
      </c>
      <c r="AM184" s="918">
        <f t="shared" si="40"/>
        <v>215714560.67716539</v>
      </c>
      <c r="AN184" s="918">
        <f t="shared" si="41"/>
        <v>-114098805.67716539</v>
      </c>
    </row>
    <row r="185" spans="1:40" x14ac:dyDescent="0.2">
      <c r="G185" s="906">
        <v>799943502</v>
      </c>
      <c r="J185" s="13">
        <f>+J184+M184+P184+S184+V184+Y184+AB184</f>
        <v>1014657378</v>
      </c>
    </row>
    <row r="186" spans="1:40" x14ac:dyDescent="0.2">
      <c r="F186" s="13">
        <f>+AC184+AD184+AE184+AF184</f>
        <v>2057444045</v>
      </c>
      <c r="G186" s="13">
        <f>+G185-G184</f>
        <v>-214713876</v>
      </c>
    </row>
    <row r="187" spans="1:40" x14ac:dyDescent="0.2">
      <c r="E187" s="13">
        <f>+K184+Q184+Z184+H184+N184</f>
        <v>1834448550</v>
      </c>
      <c r="F187" s="13">
        <f>+F186-F184</f>
        <v>0</v>
      </c>
      <c r="G187" s="13"/>
    </row>
    <row r="188" spans="1:40" x14ac:dyDescent="0.2">
      <c r="H188" s="13"/>
      <c r="AE188" s="13">
        <f>SUM(AC184:AF184)</f>
        <v>2057444045</v>
      </c>
    </row>
    <row r="189" spans="1:40" x14ac:dyDescent="0.2">
      <c r="E189" s="13">
        <f>+'[2]3. sz.Városi szintű összesen'!M16</f>
        <v>1834448550</v>
      </c>
      <c r="F189" s="13">
        <f>+'[2]3. sz.Városi szintű összesen'!N16</f>
        <v>44440228</v>
      </c>
      <c r="G189" s="13"/>
      <c r="J189" s="13">
        <f t="shared" ref="J189:AB189" si="46">+J183+J7+J10+J28+J56+J60+J75</f>
        <v>114094</v>
      </c>
      <c r="K189" s="13">
        <f t="shared" si="46"/>
        <v>1383876810</v>
      </c>
      <c r="L189" s="13">
        <f t="shared" si="46"/>
        <v>1727981380</v>
      </c>
      <c r="M189" s="13">
        <f t="shared" si="46"/>
        <v>814913984</v>
      </c>
      <c r="N189" s="13">
        <f t="shared" si="46"/>
        <v>13792132</v>
      </c>
      <c r="O189" s="13">
        <f t="shared" si="46"/>
        <v>14033769</v>
      </c>
      <c r="P189" s="13">
        <f t="shared" si="46"/>
        <v>8821816</v>
      </c>
      <c r="Q189" s="13">
        <f t="shared" si="46"/>
        <v>59183890</v>
      </c>
      <c r="R189" s="13">
        <f t="shared" si="46"/>
        <v>121980075</v>
      </c>
      <c r="S189" s="13">
        <f t="shared" si="46"/>
        <v>89191729</v>
      </c>
      <c r="T189" s="13">
        <f t="shared" si="46"/>
        <v>0</v>
      </c>
      <c r="U189" s="13">
        <f t="shared" si="46"/>
        <v>0</v>
      </c>
      <c r="V189" s="13">
        <f t="shared" si="46"/>
        <v>0</v>
      </c>
      <c r="W189" s="13">
        <f t="shared" si="46"/>
        <v>0</v>
      </c>
      <c r="X189" s="13">
        <f t="shared" si="46"/>
        <v>0</v>
      </c>
      <c r="Y189" s="13">
        <f t="shared" si="46"/>
        <v>0</v>
      </c>
      <c r="Z189" s="13">
        <f t="shared" si="46"/>
        <v>374960718</v>
      </c>
      <c r="AA189" s="13">
        <f t="shared" si="46"/>
        <v>190861399</v>
      </c>
      <c r="AB189" s="13">
        <f t="shared" si="46"/>
        <v>101615755</v>
      </c>
    </row>
    <row r="190" spans="1:40" x14ac:dyDescent="0.2">
      <c r="E190" s="13">
        <f>+E184-E189</f>
        <v>0</v>
      </c>
      <c r="F190" s="13">
        <f>+F184-F189</f>
        <v>2013003817</v>
      </c>
      <c r="G190" s="13"/>
      <c r="J190" s="13">
        <f>+J184-J189</f>
        <v>0</v>
      </c>
      <c r="K190" s="13">
        <f t="shared" ref="K190:AB190" si="47">+K184-K189</f>
        <v>0</v>
      </c>
      <c r="L190" s="13">
        <f t="shared" si="47"/>
        <v>0</v>
      </c>
      <c r="M190" s="13">
        <f t="shared" si="47"/>
        <v>0</v>
      </c>
      <c r="N190" s="13">
        <f t="shared" si="47"/>
        <v>0</v>
      </c>
      <c r="O190" s="13">
        <f t="shared" si="47"/>
        <v>0</v>
      </c>
      <c r="P190" s="13">
        <f t="shared" si="47"/>
        <v>0</v>
      </c>
      <c r="Q190" s="13">
        <f t="shared" si="47"/>
        <v>0</v>
      </c>
      <c r="R190" s="13">
        <f t="shared" si="47"/>
        <v>0</v>
      </c>
      <c r="S190" s="13">
        <f t="shared" si="47"/>
        <v>0</v>
      </c>
      <c r="T190" s="13">
        <f t="shared" si="47"/>
        <v>0</v>
      </c>
      <c r="U190" s="13">
        <f t="shared" si="47"/>
        <v>0</v>
      </c>
      <c r="V190" s="13">
        <f t="shared" si="47"/>
        <v>0</v>
      </c>
      <c r="W190" s="13">
        <f t="shared" si="47"/>
        <v>0</v>
      </c>
      <c r="X190" s="13">
        <f t="shared" si="47"/>
        <v>0</v>
      </c>
      <c r="Y190" s="13">
        <f t="shared" si="47"/>
        <v>0</v>
      </c>
      <c r="Z190" s="13">
        <f t="shared" si="47"/>
        <v>0</v>
      </c>
      <c r="AA190" s="13">
        <f t="shared" si="47"/>
        <v>0</v>
      </c>
      <c r="AB190" s="13">
        <f t="shared" si="47"/>
        <v>0</v>
      </c>
    </row>
  </sheetData>
  <mergeCells count="33">
    <mergeCell ref="A183:C183"/>
    <mergeCell ref="A184:C184"/>
    <mergeCell ref="A143:C143"/>
    <mergeCell ref="E1:P1"/>
    <mergeCell ref="Q1:AB1"/>
    <mergeCell ref="W4:Y5"/>
    <mergeCell ref="Z4:AB5"/>
    <mergeCell ref="E6:G6"/>
    <mergeCell ref="H6:J6"/>
    <mergeCell ref="K6:M6"/>
    <mergeCell ref="N6:P6"/>
    <mergeCell ref="Q6:S6"/>
    <mergeCell ref="AC1:AH1"/>
    <mergeCell ref="A3:A5"/>
    <mergeCell ref="B3:B5"/>
    <mergeCell ref="C3:C5"/>
    <mergeCell ref="D3:D5"/>
    <mergeCell ref="AC3:AH3"/>
    <mergeCell ref="E4:G5"/>
    <mergeCell ref="H4:J5"/>
    <mergeCell ref="K4:M5"/>
    <mergeCell ref="AC4:AC6"/>
    <mergeCell ref="T6:V6"/>
    <mergeCell ref="W6:Y6"/>
    <mergeCell ref="Z6:AB6"/>
    <mergeCell ref="N4:P5"/>
    <mergeCell ref="Q4:S5"/>
    <mergeCell ref="T4:V5"/>
    <mergeCell ref="AD4:AD6"/>
    <mergeCell ref="AE4:AE6"/>
    <mergeCell ref="AF4:AF6"/>
    <mergeCell ref="AG4:AG6"/>
    <mergeCell ref="AH4:AH6"/>
  </mergeCells>
  <printOptions horizontalCentered="1" verticalCentered="1"/>
  <pageMargins left="0.11811023622047245" right="0.11811023622047245" top="0.15748031496062992" bottom="0.15748031496062992" header="0.31496062992125984" footer="0.31496062992125984"/>
  <pageSetup paperSize="9" scale="43" orientation="landscape" r:id="rId1"/>
  <headerFooter>
    <oddHeader>&amp;C2022. évi zárszámadás&amp;R&amp;A</oddHeader>
    <oddFooter>&amp;C&amp;P/&amp;N</oddFooter>
  </headerFooter>
  <rowBreaks count="5" manualBreakCount="5">
    <brk id="37" max="33" man="1"/>
    <brk id="69" max="33" man="1"/>
    <brk id="110" max="33" man="1"/>
    <brk id="142" max="33" man="1"/>
    <brk id="158" max="17" man="1"/>
  </rowBreaks>
  <colBreaks count="2" manualBreakCount="2">
    <brk id="16" max="149" man="1"/>
    <brk id="28" max="14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109"/>
  <sheetViews>
    <sheetView view="pageBreakPreview" topLeftCell="A31" zoomScale="80" zoomScaleNormal="80" zoomScaleSheetLayoutView="80" workbookViewId="0">
      <selection activeCell="M49" sqref="M49"/>
    </sheetView>
  </sheetViews>
  <sheetFormatPr defaultColWidth="9.140625" defaultRowHeight="12.75" x14ac:dyDescent="0.2"/>
  <cols>
    <col min="1" max="1" width="6.5703125" style="8" customWidth="1"/>
    <col min="2" max="2" width="12" style="8" customWidth="1"/>
    <col min="3" max="3" width="60.7109375" style="8" customWidth="1"/>
    <col min="4" max="4" width="7.140625" style="8" customWidth="1"/>
    <col min="5" max="7" width="17.7109375" style="8" customWidth="1"/>
    <col min="8" max="10" width="16.7109375" style="8" customWidth="1"/>
    <col min="11" max="13" width="16.5703125" style="8" customWidth="1"/>
    <col min="14" max="16" width="16.7109375" style="8" customWidth="1"/>
    <col min="17" max="19" width="16.28515625" style="8" customWidth="1"/>
    <col min="20" max="20" width="16.28515625" style="907" customWidth="1"/>
    <col min="21" max="23" width="13.5703125" style="8" customWidth="1"/>
    <col min="24" max="24" width="15.42578125" style="8" customWidth="1"/>
    <col min="25" max="25" width="14.5703125" style="8" customWidth="1"/>
    <col min="26" max="26" width="11.140625" style="8" customWidth="1"/>
    <col min="27" max="28" width="9.140625" style="8"/>
    <col min="29" max="30" width="13.7109375" style="8" bestFit="1" customWidth="1"/>
    <col min="31" max="16384" width="9.140625" style="8"/>
  </cols>
  <sheetData>
    <row r="1" spans="1:27" ht="37.5" customHeight="1" x14ac:dyDescent="0.2">
      <c r="B1" s="874"/>
      <c r="C1" s="874"/>
      <c r="D1" s="874"/>
      <c r="E1" s="1193" t="s">
        <v>174</v>
      </c>
      <c r="F1" s="1193"/>
      <c r="G1" s="1193"/>
      <c r="H1" s="1193"/>
      <c r="I1" s="1193"/>
      <c r="J1" s="1193"/>
      <c r="K1" s="1193"/>
      <c r="L1" s="1193"/>
      <c r="M1" s="1193"/>
      <c r="N1" s="1193"/>
      <c r="O1" s="1193"/>
      <c r="P1" s="1193"/>
      <c r="Q1" s="1193"/>
      <c r="R1" s="1193"/>
      <c r="S1" s="1193"/>
      <c r="T1" s="1193" t="s">
        <v>174</v>
      </c>
      <c r="U1" s="1193"/>
      <c r="V1" s="1193"/>
      <c r="W1" s="1193"/>
      <c r="X1" s="1193"/>
      <c r="Y1" s="1193"/>
    </row>
    <row r="2" spans="1:27" ht="20.25" customHeight="1" x14ac:dyDescent="0.25">
      <c r="A2" s="650"/>
      <c r="B2" s="650"/>
      <c r="C2" s="650"/>
      <c r="D2" s="650"/>
      <c r="E2" s="650"/>
      <c r="F2" s="650"/>
      <c r="G2" s="650"/>
      <c r="H2" s="650"/>
      <c r="I2" s="650"/>
      <c r="J2" s="650"/>
      <c r="K2" s="650"/>
      <c r="L2" s="650"/>
      <c r="M2" s="650"/>
      <c r="N2" s="650"/>
      <c r="O2" s="650"/>
      <c r="P2" s="650"/>
      <c r="Q2" s="650"/>
      <c r="S2" s="245" t="s">
        <v>415</v>
      </c>
      <c r="T2" s="650"/>
      <c r="U2" s="650"/>
      <c r="V2" s="650"/>
      <c r="W2" s="650"/>
      <c r="X2" s="650"/>
      <c r="Y2" s="245" t="s">
        <v>415</v>
      </c>
    </row>
    <row r="3" spans="1:27" ht="37.5" customHeight="1" x14ac:dyDescent="0.2">
      <c r="A3" s="1194" t="s">
        <v>681</v>
      </c>
      <c r="B3" s="1197" t="s">
        <v>1</v>
      </c>
      <c r="C3" s="1223" t="s">
        <v>2</v>
      </c>
      <c r="D3" s="1226"/>
      <c r="E3" s="875" t="s">
        <v>274</v>
      </c>
      <c r="F3" s="876" t="s">
        <v>1074</v>
      </c>
      <c r="G3" s="876" t="s">
        <v>1546</v>
      </c>
      <c r="H3" s="875" t="s">
        <v>274</v>
      </c>
      <c r="I3" s="876" t="s">
        <v>1074</v>
      </c>
      <c r="J3" s="876" t="s">
        <v>1546</v>
      </c>
      <c r="K3" s="875" t="s">
        <v>274</v>
      </c>
      <c r="L3" s="876" t="s">
        <v>1074</v>
      </c>
      <c r="M3" s="876" t="s">
        <v>1546</v>
      </c>
      <c r="N3" s="875" t="s">
        <v>274</v>
      </c>
      <c r="O3" s="876" t="s">
        <v>1074</v>
      </c>
      <c r="P3" s="877" t="s">
        <v>1546</v>
      </c>
      <c r="Q3" s="878" t="s">
        <v>274</v>
      </c>
      <c r="R3" s="876" t="s">
        <v>1074</v>
      </c>
      <c r="S3" s="877" t="s">
        <v>1546</v>
      </c>
      <c r="T3" s="1229" t="s">
        <v>965</v>
      </c>
      <c r="U3" s="1229"/>
      <c r="V3" s="1229"/>
      <c r="W3" s="1229"/>
      <c r="X3" s="1229"/>
      <c r="Y3" s="1230"/>
    </row>
    <row r="4" spans="1:27" ht="40.5" customHeight="1" x14ac:dyDescent="0.2">
      <c r="A4" s="1195"/>
      <c r="B4" s="1198"/>
      <c r="C4" s="1224"/>
      <c r="D4" s="1227"/>
      <c r="E4" s="1194" t="s">
        <v>888</v>
      </c>
      <c r="F4" s="1197"/>
      <c r="G4" s="1220"/>
      <c r="H4" s="1194" t="s">
        <v>108</v>
      </c>
      <c r="I4" s="1197" t="s">
        <v>108</v>
      </c>
      <c r="J4" s="1220"/>
      <c r="K4" s="1194" t="s">
        <v>107</v>
      </c>
      <c r="L4" s="1197" t="s">
        <v>107</v>
      </c>
      <c r="M4" s="1220"/>
      <c r="N4" s="1194" t="s">
        <v>6</v>
      </c>
      <c r="O4" s="1197" t="s">
        <v>6</v>
      </c>
      <c r="P4" s="1202"/>
      <c r="Q4" s="1197" t="s">
        <v>7</v>
      </c>
      <c r="R4" s="1197" t="s">
        <v>7</v>
      </c>
      <c r="S4" s="1202"/>
      <c r="T4" s="1220" t="s">
        <v>906</v>
      </c>
      <c r="U4" s="1211" t="s">
        <v>9</v>
      </c>
      <c r="V4" s="1211" t="s">
        <v>180</v>
      </c>
      <c r="W4" s="1211" t="s">
        <v>10</v>
      </c>
      <c r="X4" s="1211" t="s">
        <v>594</v>
      </c>
      <c r="Y4" s="1214" t="s">
        <v>11</v>
      </c>
    </row>
    <row r="5" spans="1:27" ht="54.75" customHeight="1" x14ac:dyDescent="0.2">
      <c r="A5" s="1196"/>
      <c r="B5" s="1199"/>
      <c r="C5" s="1225"/>
      <c r="D5" s="1228"/>
      <c r="E5" s="1196"/>
      <c r="F5" s="1199"/>
      <c r="G5" s="1222"/>
      <c r="H5" s="1196"/>
      <c r="I5" s="1199"/>
      <c r="J5" s="1222"/>
      <c r="K5" s="1196"/>
      <c r="L5" s="1199"/>
      <c r="M5" s="1222"/>
      <c r="N5" s="1196"/>
      <c r="O5" s="1199"/>
      <c r="P5" s="1203"/>
      <c r="Q5" s="1199"/>
      <c r="R5" s="1199"/>
      <c r="S5" s="1203"/>
      <c r="T5" s="1221"/>
      <c r="U5" s="1212"/>
      <c r="V5" s="1212"/>
      <c r="W5" s="1212"/>
      <c r="X5" s="1212"/>
      <c r="Y5" s="1215"/>
    </row>
    <row r="6" spans="1:27" ht="19.5" customHeight="1" x14ac:dyDescent="0.2">
      <c r="A6" s="879" t="s">
        <v>248</v>
      </c>
      <c r="B6" s="581"/>
      <c r="C6" s="581"/>
      <c r="D6" s="581"/>
      <c r="E6" s="1217" t="s">
        <v>2054</v>
      </c>
      <c r="F6" s="1218"/>
      <c r="G6" s="1208"/>
      <c r="H6" s="1217" t="s">
        <v>103</v>
      </c>
      <c r="I6" s="1218"/>
      <c r="J6" s="1208"/>
      <c r="K6" s="1217" t="s">
        <v>104</v>
      </c>
      <c r="L6" s="1218"/>
      <c r="M6" s="1208"/>
      <c r="N6" s="1217" t="s">
        <v>105</v>
      </c>
      <c r="O6" s="1218"/>
      <c r="P6" s="1219"/>
      <c r="Q6" s="1218" t="s">
        <v>106</v>
      </c>
      <c r="R6" s="1218"/>
      <c r="S6" s="1219"/>
      <c r="T6" s="1222"/>
      <c r="U6" s="1213"/>
      <c r="V6" s="1213"/>
      <c r="W6" s="1213"/>
      <c r="X6" s="1213"/>
      <c r="Y6" s="1216"/>
    </row>
    <row r="7" spans="1:27" ht="18.75" customHeight="1" x14ac:dyDescent="0.2">
      <c r="A7" s="1209" t="s">
        <v>102</v>
      </c>
      <c r="B7" s="1210"/>
      <c r="C7" s="1210"/>
      <c r="D7" s="690"/>
      <c r="E7" s="880">
        <f>SUM(E8:E8)</f>
        <v>0</v>
      </c>
      <c r="F7" s="880">
        <f t="shared" ref="F7:Y7" si="0">SUM(F8:F8)</f>
        <v>0</v>
      </c>
      <c r="G7" s="880"/>
      <c r="H7" s="880">
        <f t="shared" si="0"/>
        <v>0</v>
      </c>
      <c r="I7" s="880">
        <f t="shared" si="0"/>
        <v>0</v>
      </c>
      <c r="J7" s="880"/>
      <c r="K7" s="880">
        <f t="shared" si="0"/>
        <v>0</v>
      </c>
      <c r="L7" s="880">
        <f t="shared" si="0"/>
        <v>0</v>
      </c>
      <c r="M7" s="880"/>
      <c r="N7" s="880">
        <f t="shared" si="0"/>
        <v>0</v>
      </c>
      <c r="O7" s="880">
        <f t="shared" si="0"/>
        <v>0</v>
      </c>
      <c r="P7" s="881"/>
      <c r="Q7" s="882">
        <f t="shared" si="0"/>
        <v>0</v>
      </c>
      <c r="R7" s="880">
        <f t="shared" si="0"/>
        <v>0</v>
      </c>
      <c r="S7" s="881"/>
      <c r="T7" s="882">
        <f t="shared" si="0"/>
        <v>0</v>
      </c>
      <c r="U7" s="880">
        <f t="shared" si="0"/>
        <v>0</v>
      </c>
      <c r="V7" s="880">
        <f t="shared" si="0"/>
        <v>0</v>
      </c>
      <c r="W7" s="880">
        <f t="shared" si="0"/>
        <v>0</v>
      </c>
      <c r="X7" s="880">
        <f t="shared" si="0"/>
        <v>0</v>
      </c>
      <c r="Y7" s="881">
        <f t="shared" si="0"/>
        <v>0</v>
      </c>
      <c r="Z7" s="8" t="e">
        <f>+T7+U7+W7+#REF!</f>
        <v>#REF!</v>
      </c>
      <c r="AA7" s="8" t="e">
        <f>+E7-Z7</f>
        <v>#REF!</v>
      </c>
    </row>
    <row r="8" spans="1:27" ht="28.5" customHeight="1" x14ac:dyDescent="0.2">
      <c r="A8" s="689"/>
      <c r="B8" s="690"/>
      <c r="C8" s="883"/>
      <c r="D8" s="690"/>
      <c r="E8" s="880">
        <f>+H8+K8+N8+Q8</f>
        <v>0</v>
      </c>
      <c r="F8" s="880">
        <f>+I8+L8+O8+R8</f>
        <v>0</v>
      </c>
      <c r="G8" s="880"/>
      <c r="H8" s="880"/>
      <c r="I8" s="880"/>
      <c r="J8" s="880"/>
      <c r="K8" s="880"/>
      <c r="L8" s="880"/>
      <c r="M8" s="880"/>
      <c r="N8" s="880"/>
      <c r="O8" s="880"/>
      <c r="P8" s="881"/>
      <c r="Q8" s="882"/>
      <c r="R8" s="880"/>
      <c r="S8" s="881"/>
      <c r="T8" s="625">
        <f>E8</f>
        <v>0</v>
      </c>
      <c r="U8" s="400"/>
      <c r="V8" s="400"/>
      <c r="W8" s="400"/>
      <c r="X8" s="400"/>
      <c r="Y8" s="281"/>
      <c r="Z8" s="8" t="e">
        <f>+T8+U8+W8+#REF!</f>
        <v>#REF!</v>
      </c>
      <c r="AA8" s="8" t="e">
        <f>+E8-Z8</f>
        <v>#REF!</v>
      </c>
    </row>
    <row r="9" spans="1:27" ht="20.25" customHeight="1" x14ac:dyDescent="0.2">
      <c r="A9" s="1209" t="s">
        <v>101</v>
      </c>
      <c r="B9" s="1210"/>
      <c r="C9" s="1210"/>
      <c r="D9" s="691"/>
      <c r="E9" s="276">
        <f t="shared" ref="E9:J9" si="1">SUM(E10:E37)</f>
        <v>227236267</v>
      </c>
      <c r="F9" s="276">
        <f t="shared" si="1"/>
        <v>174757458</v>
      </c>
      <c r="G9" s="276">
        <f t="shared" si="1"/>
        <v>130277202</v>
      </c>
      <c r="H9" s="276">
        <f t="shared" si="1"/>
        <v>178926194</v>
      </c>
      <c r="I9" s="276">
        <f t="shared" si="1"/>
        <v>137604297</v>
      </c>
      <c r="J9" s="276">
        <f t="shared" si="1"/>
        <v>102580473</v>
      </c>
      <c r="K9" s="276">
        <f t="shared" ref="K9:S9" si="2">SUM(K10:K37)</f>
        <v>0</v>
      </c>
      <c r="L9" s="276">
        <f t="shared" si="2"/>
        <v>0</v>
      </c>
      <c r="M9" s="276">
        <f t="shared" si="2"/>
        <v>0</v>
      </c>
      <c r="N9" s="276">
        <f t="shared" si="2"/>
        <v>0</v>
      </c>
      <c r="O9" s="276">
        <f t="shared" si="2"/>
        <v>0</v>
      </c>
      <c r="P9" s="276">
        <f t="shared" si="2"/>
        <v>0</v>
      </c>
      <c r="Q9" s="276">
        <f t="shared" si="2"/>
        <v>48310073</v>
      </c>
      <c r="R9" s="276">
        <f t="shared" si="2"/>
        <v>37153161</v>
      </c>
      <c r="S9" s="276">
        <f t="shared" si="2"/>
        <v>27696729</v>
      </c>
      <c r="T9" s="884">
        <f>SUM(T10:T37)</f>
        <v>170184455</v>
      </c>
      <c r="U9" s="276">
        <f>SUM(U10:U37)</f>
        <v>0</v>
      </c>
      <c r="V9" s="276">
        <f>SUM(V10:V37)</f>
        <v>4573003</v>
      </c>
      <c r="W9" s="276">
        <f>SUM(W10:W36)</f>
        <v>0</v>
      </c>
      <c r="X9" s="276">
        <f>SUM(X10:X36)</f>
        <v>0</v>
      </c>
      <c r="Y9" s="281"/>
      <c r="Z9" s="8" t="e">
        <f>+T9+U9+W9+#REF!</f>
        <v>#REF!</v>
      </c>
      <c r="AA9" s="8" t="e">
        <f>+E9-Z9</f>
        <v>#REF!</v>
      </c>
    </row>
    <row r="10" spans="1:27" ht="36" customHeight="1" x14ac:dyDescent="0.2">
      <c r="A10" s="885" t="s">
        <v>124</v>
      </c>
      <c r="B10" s="352" t="s">
        <v>548</v>
      </c>
      <c r="C10" s="283" t="s">
        <v>1246</v>
      </c>
      <c r="D10" s="886"/>
      <c r="E10" s="887">
        <f t="shared" ref="E10:F30" si="3">+H10+K10+N10+Q10</f>
        <v>0</v>
      </c>
      <c r="F10" s="887">
        <f t="shared" si="3"/>
        <v>4013200</v>
      </c>
      <c r="G10" s="887">
        <f t="shared" ref="G10:G16" si="4">+J10+M10+P10+S10</f>
        <v>4013200</v>
      </c>
      <c r="H10" s="308"/>
      <c r="I10" s="308">
        <v>3160000</v>
      </c>
      <c r="J10" s="308">
        <v>3160000</v>
      </c>
      <c r="K10" s="308"/>
      <c r="L10" s="308"/>
      <c r="M10" s="308"/>
      <c r="N10" s="308"/>
      <c r="O10" s="308"/>
      <c r="P10" s="309"/>
      <c r="Q10" s="888"/>
      <c r="R10" s="308">
        <v>853200</v>
      </c>
      <c r="S10" s="309">
        <v>853200</v>
      </c>
      <c r="T10" s="973">
        <f>+F10-U10-V10-W10</f>
        <v>4013200</v>
      </c>
      <c r="U10" s="308"/>
      <c r="V10" s="308"/>
      <c r="W10" s="308"/>
      <c r="X10" s="308"/>
      <c r="Y10" s="309" t="s">
        <v>225</v>
      </c>
    </row>
    <row r="11" spans="1:27" ht="36" customHeight="1" x14ac:dyDescent="0.2">
      <c r="A11" s="889" t="s">
        <v>124</v>
      </c>
      <c r="B11" s="289" t="s">
        <v>548</v>
      </c>
      <c r="C11" s="613" t="s">
        <v>1248</v>
      </c>
      <c r="D11" s="890"/>
      <c r="E11" s="891">
        <f t="shared" si="3"/>
        <v>0</v>
      </c>
      <c r="F11" s="891">
        <f t="shared" si="3"/>
        <v>0</v>
      </c>
      <c r="G11" s="891">
        <f t="shared" si="4"/>
        <v>0</v>
      </c>
      <c r="H11" s="112"/>
      <c r="I11" s="112">
        <f>4200000-4200000</f>
        <v>0</v>
      </c>
      <c r="J11" s="112"/>
      <c r="K11" s="112"/>
      <c r="L11" s="112"/>
      <c r="M11" s="112"/>
      <c r="N11" s="112"/>
      <c r="O11" s="112"/>
      <c r="P11" s="63"/>
      <c r="Q11" s="892"/>
      <c r="R11" s="112">
        <f>1134000-1134000</f>
        <v>0</v>
      </c>
      <c r="S11" s="63"/>
      <c r="T11" s="976">
        <f t="shared" ref="T11:T37" si="5">+F11-U11-V11-W11</f>
        <v>0</v>
      </c>
      <c r="U11" s="112"/>
      <c r="V11" s="112"/>
      <c r="W11" s="112"/>
      <c r="X11" s="112"/>
      <c r="Y11" s="63" t="s">
        <v>225</v>
      </c>
    </row>
    <row r="12" spans="1:27" ht="29.25" customHeight="1" x14ac:dyDescent="0.2">
      <c r="A12" s="893" t="s">
        <v>124</v>
      </c>
      <c r="B12" s="894" t="s">
        <v>548</v>
      </c>
      <c r="C12" s="608" t="s">
        <v>2161</v>
      </c>
      <c r="D12" s="890"/>
      <c r="E12" s="891">
        <f>+H12+K12+N12+Q12</f>
        <v>0</v>
      </c>
      <c r="F12" s="891">
        <f>+I12+L12+O12+R12</f>
        <v>1500000</v>
      </c>
      <c r="G12" s="891">
        <f t="shared" si="4"/>
        <v>1500000</v>
      </c>
      <c r="H12" s="112"/>
      <c r="I12" s="112">
        <v>1181102</v>
      </c>
      <c r="J12" s="112">
        <v>1181102</v>
      </c>
      <c r="K12" s="112"/>
      <c r="L12" s="112"/>
      <c r="M12" s="112"/>
      <c r="N12" s="112"/>
      <c r="O12" s="112"/>
      <c r="P12" s="63"/>
      <c r="Q12" s="892"/>
      <c r="R12" s="112">
        <v>318898</v>
      </c>
      <c r="S12" s="63">
        <v>318898</v>
      </c>
      <c r="T12" s="976">
        <f t="shared" si="5"/>
        <v>1500000</v>
      </c>
      <c r="U12" s="112"/>
      <c r="V12" s="112"/>
      <c r="W12" s="112"/>
      <c r="X12" s="112"/>
      <c r="Y12" s="63" t="s">
        <v>225</v>
      </c>
    </row>
    <row r="13" spans="1:27" ht="29.25" customHeight="1" x14ac:dyDescent="0.2">
      <c r="A13" s="889" t="s">
        <v>90</v>
      </c>
      <c r="B13" s="289" t="s">
        <v>126</v>
      </c>
      <c r="C13" s="608" t="s">
        <v>2086</v>
      </c>
      <c r="D13" s="890"/>
      <c r="E13" s="891">
        <f>+H13+K13+N13+Q13</f>
        <v>0</v>
      </c>
      <c r="F13" s="891">
        <f>+I13+L13+O13+R13</f>
        <v>6541770</v>
      </c>
      <c r="G13" s="891">
        <f t="shared" si="4"/>
        <v>6541770</v>
      </c>
      <c r="H13" s="112"/>
      <c r="I13" s="112">
        <v>5151000</v>
      </c>
      <c r="J13" s="112">
        <v>5151000</v>
      </c>
      <c r="K13" s="112"/>
      <c r="L13" s="112"/>
      <c r="M13" s="112"/>
      <c r="N13" s="112"/>
      <c r="O13" s="112"/>
      <c r="P13" s="63"/>
      <c r="Q13" s="892"/>
      <c r="R13" s="112">
        <v>1390770</v>
      </c>
      <c r="S13" s="63">
        <v>1390770</v>
      </c>
      <c r="T13" s="976">
        <f t="shared" si="5"/>
        <v>6541770</v>
      </c>
      <c r="U13" s="112"/>
      <c r="V13" s="112"/>
      <c r="W13" s="112"/>
      <c r="X13" s="112"/>
      <c r="Y13" s="63" t="s">
        <v>225</v>
      </c>
    </row>
    <row r="14" spans="1:27" ht="48" customHeight="1" x14ac:dyDescent="0.2">
      <c r="A14" s="889" t="s">
        <v>130</v>
      </c>
      <c r="B14" s="289" t="s">
        <v>587</v>
      </c>
      <c r="C14" s="613" t="s">
        <v>1340</v>
      </c>
      <c r="D14" s="890"/>
      <c r="E14" s="891">
        <f t="shared" si="3"/>
        <v>0</v>
      </c>
      <c r="F14" s="891">
        <f t="shared" si="3"/>
        <v>0</v>
      </c>
      <c r="G14" s="891">
        <f t="shared" si="4"/>
        <v>0</v>
      </c>
      <c r="H14" s="112"/>
      <c r="I14" s="112">
        <v>0</v>
      </c>
      <c r="J14" s="112"/>
      <c r="K14" s="112"/>
      <c r="L14" s="112"/>
      <c r="M14" s="112"/>
      <c r="N14" s="112"/>
      <c r="O14" s="112"/>
      <c r="P14" s="63"/>
      <c r="Q14" s="892"/>
      <c r="R14" s="112">
        <v>0</v>
      </c>
      <c r="S14" s="63"/>
      <c r="T14" s="976">
        <f t="shared" si="5"/>
        <v>0</v>
      </c>
      <c r="U14" s="112"/>
      <c r="V14" s="112"/>
      <c r="W14" s="112"/>
      <c r="X14" s="112"/>
      <c r="Y14" s="63" t="s">
        <v>225</v>
      </c>
    </row>
    <row r="15" spans="1:27" ht="30" customHeight="1" x14ac:dyDescent="0.2">
      <c r="A15" s="889" t="s">
        <v>130</v>
      </c>
      <c r="B15" s="289" t="s">
        <v>587</v>
      </c>
      <c r="C15" s="613" t="s">
        <v>1333</v>
      </c>
      <c r="D15" s="890"/>
      <c r="E15" s="891">
        <f t="shared" si="3"/>
        <v>0</v>
      </c>
      <c r="F15" s="891">
        <f t="shared" si="3"/>
        <v>539750</v>
      </c>
      <c r="G15" s="891">
        <f t="shared" si="4"/>
        <v>539750</v>
      </c>
      <c r="H15" s="112"/>
      <c r="I15" s="112">
        <v>425000</v>
      </c>
      <c r="J15" s="112">
        <v>425000</v>
      </c>
      <c r="K15" s="112"/>
      <c r="L15" s="112"/>
      <c r="M15" s="112"/>
      <c r="N15" s="112"/>
      <c r="O15" s="112"/>
      <c r="P15" s="63"/>
      <c r="Q15" s="892"/>
      <c r="R15" s="112">
        <v>114750</v>
      </c>
      <c r="S15" s="63">
        <v>114750</v>
      </c>
      <c r="T15" s="976">
        <f t="shared" si="5"/>
        <v>539750</v>
      </c>
      <c r="U15" s="112"/>
      <c r="V15" s="112"/>
      <c r="W15" s="112"/>
      <c r="X15" s="112"/>
      <c r="Y15" s="63" t="s">
        <v>225</v>
      </c>
    </row>
    <row r="16" spans="1:27" ht="30" customHeight="1" x14ac:dyDescent="0.2">
      <c r="A16" s="889" t="s">
        <v>130</v>
      </c>
      <c r="B16" s="289" t="s">
        <v>587</v>
      </c>
      <c r="C16" s="613" t="s">
        <v>2087</v>
      </c>
      <c r="D16" s="890"/>
      <c r="E16" s="891">
        <f t="shared" si="3"/>
        <v>0</v>
      </c>
      <c r="F16" s="891">
        <f t="shared" si="3"/>
        <v>388570</v>
      </c>
      <c r="G16" s="891">
        <f t="shared" si="4"/>
        <v>388570</v>
      </c>
      <c r="H16" s="112"/>
      <c r="I16" s="112">
        <v>305960</v>
      </c>
      <c r="J16" s="112">
        <f>98462+59683+119494+21813+6508</f>
        <v>305960</v>
      </c>
      <c r="K16" s="112"/>
      <c r="L16" s="112"/>
      <c r="M16" s="112"/>
      <c r="N16" s="112"/>
      <c r="O16" s="112"/>
      <c r="P16" s="63"/>
      <c r="Q16" s="892"/>
      <c r="R16" s="112">
        <v>82610</v>
      </c>
      <c r="S16" s="63">
        <f>16114+32264+1757+26585+5890</f>
        <v>82610</v>
      </c>
      <c r="T16" s="976">
        <f t="shared" si="5"/>
        <v>388570</v>
      </c>
      <c r="U16" s="112"/>
      <c r="V16" s="112"/>
      <c r="W16" s="112"/>
      <c r="X16" s="112"/>
      <c r="Y16" s="63" t="s">
        <v>225</v>
      </c>
    </row>
    <row r="17" spans="1:25" ht="30" customHeight="1" x14ac:dyDescent="0.2">
      <c r="A17" s="893" t="s">
        <v>130</v>
      </c>
      <c r="B17" s="894" t="s">
        <v>587</v>
      </c>
      <c r="C17" s="608" t="s">
        <v>2162</v>
      </c>
      <c r="D17" s="890"/>
      <c r="E17" s="891">
        <f t="shared" ref="E17:F19" si="6">+H17+K17+N17+Q17</f>
        <v>0</v>
      </c>
      <c r="F17" s="891">
        <f t="shared" si="6"/>
        <v>603250</v>
      </c>
      <c r="G17" s="891"/>
      <c r="H17" s="112"/>
      <c r="I17" s="112">
        <v>475000</v>
      </c>
      <c r="J17" s="112"/>
      <c r="K17" s="112"/>
      <c r="L17" s="112"/>
      <c r="M17" s="112"/>
      <c r="N17" s="112"/>
      <c r="O17" s="112"/>
      <c r="P17" s="63"/>
      <c r="Q17" s="892"/>
      <c r="R17" s="112">
        <v>128250</v>
      </c>
      <c r="S17" s="63"/>
      <c r="T17" s="976">
        <f t="shared" si="5"/>
        <v>603250</v>
      </c>
      <c r="U17" s="112"/>
      <c r="V17" s="112"/>
      <c r="W17" s="112"/>
      <c r="X17" s="112"/>
      <c r="Y17" s="63" t="s">
        <v>225</v>
      </c>
    </row>
    <row r="18" spans="1:25" ht="27" customHeight="1" x14ac:dyDescent="0.2">
      <c r="A18" s="893" t="s">
        <v>130</v>
      </c>
      <c r="B18" s="894" t="s">
        <v>587</v>
      </c>
      <c r="C18" s="608" t="s">
        <v>2163</v>
      </c>
      <c r="D18" s="890"/>
      <c r="E18" s="891">
        <f t="shared" si="6"/>
        <v>0</v>
      </c>
      <c r="F18" s="891">
        <f t="shared" si="6"/>
        <v>941070</v>
      </c>
      <c r="G18" s="891"/>
      <c r="H18" s="112"/>
      <c r="I18" s="112">
        <v>741000</v>
      </c>
      <c r="J18" s="112"/>
      <c r="K18" s="112"/>
      <c r="L18" s="112"/>
      <c r="M18" s="112"/>
      <c r="N18" s="112"/>
      <c r="O18" s="112"/>
      <c r="P18" s="63"/>
      <c r="Q18" s="892"/>
      <c r="R18" s="112">
        <v>200070</v>
      </c>
      <c r="S18" s="63"/>
      <c r="T18" s="976">
        <f t="shared" si="5"/>
        <v>941070</v>
      </c>
      <c r="U18" s="112"/>
      <c r="V18" s="112"/>
      <c r="W18" s="112"/>
      <c r="X18" s="112"/>
      <c r="Y18" s="63" t="s">
        <v>225</v>
      </c>
    </row>
    <row r="19" spans="1:25" ht="27" customHeight="1" x14ac:dyDescent="0.2">
      <c r="A19" s="893" t="s">
        <v>130</v>
      </c>
      <c r="B19" s="894" t="s">
        <v>587</v>
      </c>
      <c r="C19" s="608" t="s">
        <v>2164</v>
      </c>
      <c r="D19" s="890"/>
      <c r="E19" s="891">
        <f t="shared" si="6"/>
        <v>0</v>
      </c>
      <c r="F19" s="891">
        <f t="shared" si="6"/>
        <v>1930400</v>
      </c>
      <c r="G19" s="891"/>
      <c r="H19" s="112"/>
      <c r="I19" s="112">
        <v>1520000</v>
      </c>
      <c r="J19" s="112"/>
      <c r="K19" s="112"/>
      <c r="L19" s="112"/>
      <c r="M19" s="112"/>
      <c r="N19" s="112"/>
      <c r="O19" s="112"/>
      <c r="P19" s="63"/>
      <c r="Q19" s="892"/>
      <c r="R19" s="112">
        <v>410400</v>
      </c>
      <c r="S19" s="63"/>
      <c r="T19" s="976">
        <f t="shared" si="5"/>
        <v>1930400</v>
      </c>
      <c r="U19" s="112"/>
      <c r="V19" s="112"/>
      <c r="W19" s="112"/>
      <c r="X19" s="112"/>
      <c r="Y19" s="63" t="s">
        <v>225</v>
      </c>
    </row>
    <row r="20" spans="1:25" ht="27.75" customHeight="1" x14ac:dyDescent="0.2">
      <c r="A20" s="889" t="s">
        <v>131</v>
      </c>
      <c r="B20" s="289" t="s">
        <v>549</v>
      </c>
      <c r="C20" s="388" t="s">
        <v>1212</v>
      </c>
      <c r="D20" s="890"/>
      <c r="E20" s="891">
        <f t="shared" si="3"/>
        <v>0</v>
      </c>
      <c r="F20" s="891">
        <f t="shared" si="3"/>
        <v>1991360</v>
      </c>
      <c r="G20" s="891">
        <f t="shared" ref="G20:G31" si="7">+J20+M20+P20+S20</f>
        <v>1991360</v>
      </c>
      <c r="H20" s="112"/>
      <c r="I20" s="112">
        <v>1568000</v>
      </c>
      <c r="J20" s="112">
        <v>1568000</v>
      </c>
      <c r="K20" s="112"/>
      <c r="L20" s="112"/>
      <c r="M20" s="112"/>
      <c r="N20" s="112"/>
      <c r="O20" s="112"/>
      <c r="P20" s="63"/>
      <c r="Q20" s="892"/>
      <c r="R20" s="112">
        <v>423360</v>
      </c>
      <c r="S20" s="63">
        <v>423360</v>
      </c>
      <c r="T20" s="976">
        <f t="shared" si="5"/>
        <v>1991360</v>
      </c>
      <c r="U20" s="112"/>
      <c r="V20" s="112"/>
      <c r="W20" s="112"/>
      <c r="X20" s="112"/>
      <c r="Y20" s="63" t="s">
        <v>225</v>
      </c>
    </row>
    <row r="21" spans="1:25" ht="33" customHeight="1" x14ac:dyDescent="0.2">
      <c r="A21" s="889" t="s">
        <v>935</v>
      </c>
      <c r="B21" s="289" t="s">
        <v>523</v>
      </c>
      <c r="C21" s="388" t="s">
        <v>1048</v>
      </c>
      <c r="D21" s="895"/>
      <c r="E21" s="891">
        <f t="shared" si="3"/>
        <v>6698581</v>
      </c>
      <c r="F21" s="891">
        <f t="shared" si="3"/>
        <v>6698581</v>
      </c>
      <c r="G21" s="891">
        <f t="shared" si="7"/>
        <v>698581</v>
      </c>
      <c r="H21" s="112">
        <f>(4724409)+295064+255000</f>
        <v>5274473</v>
      </c>
      <c r="I21" s="112">
        <f>(4724409)+295064+255000</f>
        <v>5274473</v>
      </c>
      <c r="J21" s="112">
        <v>550064</v>
      </c>
      <c r="K21" s="112"/>
      <c r="L21" s="112"/>
      <c r="M21" s="112"/>
      <c r="N21" s="112"/>
      <c r="O21" s="112"/>
      <c r="P21" s="63"/>
      <c r="Q21" s="892">
        <f>(1275591)+79667+68850</f>
        <v>1424108</v>
      </c>
      <c r="R21" s="112">
        <f>(1275591)+79667+68850</f>
        <v>1424108</v>
      </c>
      <c r="S21" s="63">
        <v>148517</v>
      </c>
      <c r="T21" s="976">
        <f t="shared" si="5"/>
        <v>6698581</v>
      </c>
      <c r="U21" s="288"/>
      <c r="V21" s="288"/>
      <c r="W21" s="288"/>
      <c r="X21" s="288"/>
      <c r="Y21" s="63" t="s">
        <v>225</v>
      </c>
    </row>
    <row r="22" spans="1:25" ht="33" customHeight="1" x14ac:dyDescent="0.2">
      <c r="A22" s="889" t="s">
        <v>431</v>
      </c>
      <c r="B22" s="289" t="s">
        <v>508</v>
      </c>
      <c r="C22" s="388" t="s">
        <v>1213</v>
      </c>
      <c r="D22" s="895"/>
      <c r="E22" s="891">
        <f t="shared" si="3"/>
        <v>0</v>
      </c>
      <c r="F22" s="891">
        <f t="shared" si="3"/>
        <v>24500000</v>
      </c>
      <c r="G22" s="891">
        <f t="shared" si="7"/>
        <v>23088600</v>
      </c>
      <c r="H22" s="112"/>
      <c r="I22" s="112">
        <v>19291339</v>
      </c>
      <c r="J22" s="112">
        <v>18180000</v>
      </c>
      <c r="K22" s="112"/>
      <c r="L22" s="112"/>
      <c r="M22" s="112"/>
      <c r="N22" s="112"/>
      <c r="O22" s="112"/>
      <c r="P22" s="63"/>
      <c r="Q22" s="892"/>
      <c r="R22" s="112">
        <v>5208661</v>
      </c>
      <c r="S22" s="63">
        <v>4908600</v>
      </c>
      <c r="T22" s="976">
        <f t="shared" si="5"/>
        <v>24500000</v>
      </c>
      <c r="U22" s="288"/>
      <c r="V22" s="288"/>
      <c r="W22" s="288"/>
      <c r="X22" s="288"/>
      <c r="Y22" s="63" t="s">
        <v>225</v>
      </c>
    </row>
    <row r="23" spans="1:25" ht="33" customHeight="1" x14ac:dyDescent="0.2">
      <c r="A23" s="889" t="s">
        <v>125</v>
      </c>
      <c r="B23" s="289" t="s">
        <v>126</v>
      </c>
      <c r="C23" s="388" t="s">
        <v>903</v>
      </c>
      <c r="D23" s="896"/>
      <c r="E23" s="891">
        <f t="shared" si="3"/>
        <v>0</v>
      </c>
      <c r="F23" s="891">
        <f>+I23+L23+O23+R23</f>
        <v>0</v>
      </c>
      <c r="G23" s="891">
        <f t="shared" si="7"/>
        <v>0</v>
      </c>
      <c r="H23" s="112"/>
      <c r="I23" s="112">
        <f>2400000-2400000</f>
        <v>0</v>
      </c>
      <c r="J23" s="112"/>
      <c r="K23" s="112"/>
      <c r="L23" s="112"/>
      <c r="M23" s="112"/>
      <c r="N23" s="112"/>
      <c r="O23" s="112"/>
      <c r="P23" s="63"/>
      <c r="Q23" s="892"/>
      <c r="R23" s="112">
        <f>648000-648000</f>
        <v>0</v>
      </c>
      <c r="S23" s="63"/>
      <c r="T23" s="976">
        <f t="shared" si="5"/>
        <v>0</v>
      </c>
      <c r="U23" s="288"/>
      <c r="V23" s="288"/>
      <c r="W23" s="288"/>
      <c r="X23" s="288"/>
      <c r="Y23" s="63" t="s">
        <v>225</v>
      </c>
    </row>
    <row r="24" spans="1:25" ht="27" customHeight="1" x14ac:dyDescent="0.2">
      <c r="A24" s="889" t="s">
        <v>125</v>
      </c>
      <c r="B24" s="289" t="s">
        <v>126</v>
      </c>
      <c r="C24" s="388" t="s">
        <v>961</v>
      </c>
      <c r="D24" s="289"/>
      <c r="E24" s="891">
        <f t="shared" si="3"/>
        <v>65000000</v>
      </c>
      <c r="F24" s="891">
        <f t="shared" si="3"/>
        <v>0</v>
      </c>
      <c r="G24" s="891">
        <f t="shared" si="7"/>
        <v>0</v>
      </c>
      <c r="H24" s="112">
        <v>51181102</v>
      </c>
      <c r="I24" s="112">
        <v>0</v>
      </c>
      <c r="J24" s="112"/>
      <c r="K24" s="112"/>
      <c r="L24" s="112"/>
      <c r="M24" s="112"/>
      <c r="N24" s="112"/>
      <c r="O24" s="112"/>
      <c r="P24" s="63"/>
      <c r="Q24" s="892">
        <v>13818898</v>
      </c>
      <c r="R24" s="112">
        <v>0</v>
      </c>
      <c r="S24" s="63"/>
      <c r="T24" s="976">
        <f t="shared" si="5"/>
        <v>0</v>
      </c>
      <c r="U24" s="288"/>
      <c r="V24" s="288"/>
      <c r="W24" s="288"/>
      <c r="X24" s="288"/>
      <c r="Y24" s="63" t="s">
        <v>225</v>
      </c>
    </row>
    <row r="25" spans="1:25" ht="42.75" customHeight="1" x14ac:dyDescent="0.2">
      <c r="A25" s="889" t="s">
        <v>680</v>
      </c>
      <c r="B25" s="289" t="s">
        <v>514</v>
      </c>
      <c r="C25" s="388" t="s">
        <v>904</v>
      </c>
      <c r="D25" s="896"/>
      <c r="E25" s="891">
        <f t="shared" si="3"/>
        <v>0</v>
      </c>
      <c r="F25" s="891">
        <f t="shared" si="3"/>
        <v>24249116</v>
      </c>
      <c r="G25" s="891">
        <f t="shared" si="7"/>
        <v>24249116</v>
      </c>
      <c r="H25" s="112"/>
      <c r="I25" s="112">
        <v>19093792</v>
      </c>
      <c r="J25" s="112">
        <v>19093792</v>
      </c>
      <c r="K25" s="112"/>
      <c r="L25" s="112"/>
      <c r="M25" s="112"/>
      <c r="N25" s="112"/>
      <c r="O25" s="112"/>
      <c r="P25" s="63"/>
      <c r="Q25" s="892"/>
      <c r="R25" s="112">
        <v>5155324</v>
      </c>
      <c r="S25" s="63">
        <v>5155324</v>
      </c>
      <c r="T25" s="976">
        <f t="shared" si="5"/>
        <v>24249116</v>
      </c>
      <c r="U25" s="288"/>
      <c r="V25" s="288"/>
      <c r="W25" s="288"/>
      <c r="X25" s="288"/>
      <c r="Y25" s="63" t="s">
        <v>225</v>
      </c>
    </row>
    <row r="26" spans="1:25" ht="27" customHeight="1" x14ac:dyDescent="0.2">
      <c r="A26" s="889" t="s">
        <v>680</v>
      </c>
      <c r="B26" s="289" t="s">
        <v>514</v>
      </c>
      <c r="C26" s="388" t="s">
        <v>962</v>
      </c>
      <c r="D26" s="895"/>
      <c r="E26" s="891">
        <f t="shared" si="3"/>
        <v>65000000</v>
      </c>
      <c r="F26" s="891">
        <f t="shared" si="3"/>
        <v>0</v>
      </c>
      <c r="G26" s="891">
        <f t="shared" si="7"/>
        <v>0</v>
      </c>
      <c r="H26" s="112">
        <v>51181102</v>
      </c>
      <c r="I26" s="112">
        <v>0</v>
      </c>
      <c r="J26" s="112"/>
      <c r="K26" s="112"/>
      <c r="L26" s="112"/>
      <c r="M26" s="112"/>
      <c r="N26" s="112"/>
      <c r="O26" s="112"/>
      <c r="P26" s="63"/>
      <c r="Q26" s="892">
        <v>13818898</v>
      </c>
      <c r="R26" s="112">
        <v>0</v>
      </c>
      <c r="S26" s="63"/>
      <c r="T26" s="976">
        <f t="shared" si="5"/>
        <v>0</v>
      </c>
      <c r="U26" s="288"/>
      <c r="V26" s="288"/>
      <c r="W26" s="288"/>
      <c r="X26" s="288"/>
      <c r="Y26" s="63" t="s">
        <v>225</v>
      </c>
    </row>
    <row r="27" spans="1:25" ht="27" customHeight="1" x14ac:dyDescent="0.2">
      <c r="A27" s="897" t="s">
        <v>429</v>
      </c>
      <c r="B27" s="289" t="s">
        <v>508</v>
      </c>
      <c r="C27" s="613" t="s">
        <v>740</v>
      </c>
      <c r="D27" s="132"/>
      <c r="E27" s="891">
        <f t="shared" si="3"/>
        <v>1000000</v>
      </c>
      <c r="F27" s="891">
        <f t="shared" si="3"/>
        <v>1000000</v>
      </c>
      <c r="G27" s="891">
        <f t="shared" si="7"/>
        <v>0</v>
      </c>
      <c r="H27" s="112">
        <v>787402</v>
      </c>
      <c r="I27" s="112">
        <v>787402</v>
      </c>
      <c r="J27" s="112"/>
      <c r="K27" s="112"/>
      <c r="L27" s="112"/>
      <c r="M27" s="112"/>
      <c r="N27" s="112"/>
      <c r="O27" s="112"/>
      <c r="P27" s="63"/>
      <c r="Q27" s="892">
        <v>212598</v>
      </c>
      <c r="R27" s="112">
        <v>212598</v>
      </c>
      <c r="S27" s="63"/>
      <c r="T27" s="976">
        <f t="shared" si="5"/>
        <v>1000000</v>
      </c>
      <c r="U27" s="288"/>
      <c r="V27" s="288"/>
      <c r="W27" s="288"/>
      <c r="X27" s="288"/>
      <c r="Y27" s="63" t="s">
        <v>225</v>
      </c>
    </row>
    <row r="28" spans="1:25" ht="27" customHeight="1" x14ac:dyDescent="0.2">
      <c r="A28" s="897" t="s">
        <v>644</v>
      </c>
      <c r="B28" s="289" t="s">
        <v>526</v>
      </c>
      <c r="C28" s="613" t="s">
        <v>2165</v>
      </c>
      <c r="D28" s="895"/>
      <c r="E28" s="891">
        <f t="shared" si="3"/>
        <v>7623810</v>
      </c>
      <c r="F28" s="891">
        <f>+I28+L28+O28+R28</f>
        <v>9156992</v>
      </c>
      <c r="G28" s="891">
        <f t="shared" si="7"/>
        <v>9156992</v>
      </c>
      <c r="H28" s="112">
        <v>6003000</v>
      </c>
      <c r="I28" s="112">
        <v>7210230</v>
      </c>
      <c r="J28" s="112">
        <f>165000+811230+6003000+231000</f>
        <v>7210230</v>
      </c>
      <c r="K28" s="112"/>
      <c r="L28" s="112"/>
      <c r="M28" s="112"/>
      <c r="N28" s="112"/>
      <c r="O28" s="112"/>
      <c r="P28" s="63"/>
      <c r="Q28" s="892">
        <v>1620810</v>
      </c>
      <c r="R28" s="112">
        <v>1946762</v>
      </c>
      <c r="S28" s="63">
        <f>44550+62370+1620810+219032</f>
        <v>1946762</v>
      </c>
      <c r="T28" s="976">
        <f t="shared" si="5"/>
        <v>9156992</v>
      </c>
      <c r="U28" s="288"/>
      <c r="V28" s="288"/>
      <c r="W28" s="288"/>
      <c r="X28" s="288"/>
      <c r="Y28" s="63" t="s">
        <v>225</v>
      </c>
    </row>
    <row r="29" spans="1:25" ht="27" customHeight="1" x14ac:dyDescent="0.2">
      <c r="A29" s="897" t="s">
        <v>644</v>
      </c>
      <c r="B29" s="289" t="s">
        <v>526</v>
      </c>
      <c r="C29" s="613" t="s">
        <v>1231</v>
      </c>
      <c r="D29" s="895"/>
      <c r="E29" s="891">
        <f t="shared" si="3"/>
        <v>8735060</v>
      </c>
      <c r="F29" s="891">
        <f t="shared" si="3"/>
        <v>8735060</v>
      </c>
      <c r="G29" s="891">
        <f t="shared" si="7"/>
        <v>8735060</v>
      </c>
      <c r="H29" s="112">
        <v>6878000</v>
      </c>
      <c r="I29" s="112">
        <v>6878000</v>
      </c>
      <c r="J29" s="112">
        <f>8603000-1725000</f>
        <v>6878000</v>
      </c>
      <c r="K29" s="112"/>
      <c r="L29" s="112"/>
      <c r="M29" s="112"/>
      <c r="N29" s="112"/>
      <c r="O29" s="112"/>
      <c r="P29" s="63"/>
      <c r="Q29" s="892">
        <v>1857060</v>
      </c>
      <c r="R29" s="112">
        <v>1857060</v>
      </c>
      <c r="S29" s="63">
        <f>2322810-465750</f>
        <v>1857060</v>
      </c>
      <c r="T29" s="976">
        <f t="shared" si="5"/>
        <v>8735060</v>
      </c>
      <c r="U29" s="288"/>
      <c r="V29" s="288"/>
      <c r="W29" s="288"/>
      <c r="X29" s="288"/>
      <c r="Y29" s="63" t="s">
        <v>225</v>
      </c>
    </row>
    <row r="30" spans="1:25" ht="27" customHeight="1" x14ac:dyDescent="0.2">
      <c r="A30" s="897" t="s">
        <v>644</v>
      </c>
      <c r="B30" s="289" t="s">
        <v>526</v>
      </c>
      <c r="C30" s="613" t="s">
        <v>1484</v>
      </c>
      <c r="D30" s="895"/>
      <c r="E30" s="891">
        <f t="shared" si="3"/>
        <v>0</v>
      </c>
      <c r="F30" s="891">
        <f t="shared" si="3"/>
        <v>0</v>
      </c>
      <c r="G30" s="891">
        <f t="shared" si="7"/>
        <v>0</v>
      </c>
      <c r="H30" s="112"/>
      <c r="I30" s="112">
        <f>80000-80000</f>
        <v>0</v>
      </c>
      <c r="J30" s="112"/>
      <c r="K30" s="112"/>
      <c r="L30" s="112"/>
      <c r="M30" s="112"/>
      <c r="N30" s="112"/>
      <c r="O30" s="112"/>
      <c r="P30" s="63"/>
      <c r="Q30" s="892"/>
      <c r="R30" s="112"/>
      <c r="S30" s="63"/>
      <c r="T30" s="976">
        <f t="shared" si="5"/>
        <v>0</v>
      </c>
      <c r="U30" s="288"/>
      <c r="V30" s="288"/>
      <c r="W30" s="288"/>
      <c r="X30" s="288"/>
      <c r="Y30" s="63" t="s">
        <v>225</v>
      </c>
    </row>
    <row r="31" spans="1:25" ht="30" customHeight="1" x14ac:dyDescent="0.2">
      <c r="A31" s="897" t="s">
        <v>1004</v>
      </c>
      <c r="B31" s="289" t="s">
        <v>968</v>
      </c>
      <c r="C31" s="613" t="s">
        <v>1005</v>
      </c>
      <c r="D31" s="895"/>
      <c r="E31" s="891">
        <f t="shared" ref="E31:F37" si="8">+H31+K31+N31+Q31</f>
        <v>18743098</v>
      </c>
      <c r="F31" s="891">
        <f t="shared" si="8"/>
        <v>18743098</v>
      </c>
      <c r="G31" s="891">
        <f t="shared" si="7"/>
        <v>18743098</v>
      </c>
      <c r="H31" s="112">
        <v>14758345</v>
      </c>
      <c r="I31" s="112">
        <v>14758345</v>
      </c>
      <c r="J31" s="112">
        <v>14758345</v>
      </c>
      <c r="K31" s="112"/>
      <c r="L31" s="112"/>
      <c r="M31" s="112"/>
      <c r="N31" s="112"/>
      <c r="O31" s="112"/>
      <c r="P31" s="63"/>
      <c r="Q31" s="892">
        <v>3984753</v>
      </c>
      <c r="R31" s="112">
        <v>3984753</v>
      </c>
      <c r="S31" s="63">
        <v>3984753</v>
      </c>
      <c r="T31" s="976">
        <f t="shared" si="5"/>
        <v>18743098</v>
      </c>
      <c r="U31" s="288"/>
      <c r="V31" s="288"/>
      <c r="W31" s="288"/>
      <c r="X31" s="288"/>
      <c r="Y31" s="63" t="s">
        <v>225</v>
      </c>
    </row>
    <row r="32" spans="1:25" ht="27.75" customHeight="1" x14ac:dyDescent="0.2">
      <c r="A32" s="897" t="s">
        <v>1004</v>
      </c>
      <c r="B32" s="289" t="s">
        <v>968</v>
      </c>
      <c r="C32" s="613" t="s">
        <v>2088</v>
      </c>
      <c r="D32" s="895"/>
      <c r="E32" s="891">
        <f>+H32+K32+N32+Q32</f>
        <v>0</v>
      </c>
      <c r="F32" s="891">
        <f t="shared" ref="F32:G36" si="9">+I32+L32+O32+R32</f>
        <v>2555875</v>
      </c>
      <c r="G32" s="891">
        <f t="shared" si="9"/>
        <v>1651000</v>
      </c>
      <c r="H32" s="112"/>
      <c r="I32" s="112">
        <v>2012500</v>
      </c>
      <c r="J32" s="112">
        <f>1000000+300000</f>
        <v>1300000</v>
      </c>
      <c r="K32" s="112"/>
      <c r="L32" s="112"/>
      <c r="M32" s="112"/>
      <c r="N32" s="112"/>
      <c r="O32" s="112"/>
      <c r="P32" s="63"/>
      <c r="Q32" s="892"/>
      <c r="R32" s="112">
        <v>543375</v>
      </c>
      <c r="S32" s="63">
        <f>270000+81000</f>
        <v>351000</v>
      </c>
      <c r="T32" s="976">
        <f t="shared" si="5"/>
        <v>2555875</v>
      </c>
      <c r="U32" s="288"/>
      <c r="V32" s="288"/>
      <c r="W32" s="288"/>
      <c r="X32" s="288"/>
      <c r="Y32" s="63" t="s">
        <v>225</v>
      </c>
    </row>
    <row r="33" spans="1:27" ht="27.75" customHeight="1" x14ac:dyDescent="0.2">
      <c r="A33" s="897" t="s">
        <v>1004</v>
      </c>
      <c r="B33" s="289" t="s">
        <v>968</v>
      </c>
      <c r="C33" s="613" t="s">
        <v>2166</v>
      </c>
      <c r="D33" s="895"/>
      <c r="E33" s="891">
        <f>+H33+K33+N33+Q33</f>
        <v>0</v>
      </c>
      <c r="F33" s="891">
        <f>+I33+L33+O33+R33</f>
        <v>1689100</v>
      </c>
      <c r="G33" s="891"/>
      <c r="H33" s="112"/>
      <c r="I33" s="112">
        <v>1330000</v>
      </c>
      <c r="J33" s="112"/>
      <c r="K33" s="112"/>
      <c r="L33" s="112"/>
      <c r="M33" s="112"/>
      <c r="N33" s="112"/>
      <c r="O33" s="112"/>
      <c r="P33" s="63"/>
      <c r="Q33" s="892"/>
      <c r="R33" s="112">
        <v>359100</v>
      </c>
      <c r="S33" s="63"/>
      <c r="T33" s="976">
        <f t="shared" si="5"/>
        <v>1689100</v>
      </c>
      <c r="U33" s="288"/>
      <c r="V33" s="288"/>
      <c r="W33" s="288"/>
      <c r="X33" s="288"/>
      <c r="Y33" s="63" t="s">
        <v>225</v>
      </c>
    </row>
    <row r="34" spans="1:27" ht="29.25" customHeight="1" x14ac:dyDescent="0.2">
      <c r="A34" s="897" t="s">
        <v>1000</v>
      </c>
      <c r="B34" s="289" t="s">
        <v>164</v>
      </c>
      <c r="C34" s="613" t="s">
        <v>1001</v>
      </c>
      <c r="D34" s="895"/>
      <c r="E34" s="891">
        <f t="shared" si="8"/>
        <v>759054</v>
      </c>
      <c r="F34" s="891">
        <f t="shared" si="8"/>
        <v>759054</v>
      </c>
      <c r="G34" s="891">
        <f t="shared" si="9"/>
        <v>759054</v>
      </c>
      <c r="H34" s="112">
        <v>597680</v>
      </c>
      <c r="I34" s="112">
        <v>597680</v>
      </c>
      <c r="J34" s="112">
        <v>597680</v>
      </c>
      <c r="K34" s="112"/>
      <c r="L34" s="112"/>
      <c r="M34" s="112"/>
      <c r="N34" s="112"/>
      <c r="O34" s="112"/>
      <c r="P34" s="63"/>
      <c r="Q34" s="892">
        <v>161374</v>
      </c>
      <c r="R34" s="112">
        <v>161374</v>
      </c>
      <c r="S34" s="63">
        <v>161374</v>
      </c>
      <c r="T34" s="976">
        <f t="shared" si="5"/>
        <v>759054</v>
      </c>
      <c r="U34" s="288"/>
      <c r="V34" s="288"/>
      <c r="W34" s="288"/>
      <c r="X34" s="288"/>
      <c r="Y34" s="63" t="s">
        <v>225</v>
      </c>
    </row>
    <row r="35" spans="1:27" ht="23.25" customHeight="1" x14ac:dyDescent="0.2">
      <c r="A35" s="897" t="s">
        <v>947</v>
      </c>
      <c r="B35" s="289" t="s">
        <v>587</v>
      </c>
      <c r="C35" s="613" t="s">
        <v>1475</v>
      </c>
      <c r="D35" s="895"/>
      <c r="E35" s="891">
        <f t="shared" si="8"/>
        <v>48986500</v>
      </c>
      <c r="F35" s="891">
        <f t="shared" si="8"/>
        <v>48986500</v>
      </c>
      <c r="G35" s="891">
        <f t="shared" si="9"/>
        <v>18986500</v>
      </c>
      <c r="H35" s="112">
        <f>(23622047)+14950000</f>
        <v>38572047</v>
      </c>
      <c r="I35" s="112">
        <f>(23622047)+14950000</f>
        <v>38572047</v>
      </c>
      <c r="J35" s="112">
        <v>14950000</v>
      </c>
      <c r="K35" s="112"/>
      <c r="L35" s="112"/>
      <c r="M35" s="112"/>
      <c r="N35" s="112"/>
      <c r="O35" s="112"/>
      <c r="P35" s="63"/>
      <c r="Q35" s="892">
        <f>(6377953)+4036500</f>
        <v>10414453</v>
      </c>
      <c r="R35" s="112">
        <f>(6377953)+4036500</f>
        <v>10414453</v>
      </c>
      <c r="S35" s="63">
        <v>4036500</v>
      </c>
      <c r="T35" s="976">
        <f t="shared" si="5"/>
        <v>48986500</v>
      </c>
      <c r="U35" s="288"/>
      <c r="V35" s="288"/>
      <c r="W35" s="288"/>
      <c r="X35" s="288"/>
      <c r="Y35" s="63" t="s">
        <v>225</v>
      </c>
    </row>
    <row r="36" spans="1:27" ht="54.75" customHeight="1" x14ac:dyDescent="0.2">
      <c r="A36" s="897" t="s">
        <v>1040</v>
      </c>
      <c r="B36" s="289" t="s">
        <v>512</v>
      </c>
      <c r="C36" s="613" t="s">
        <v>1499</v>
      </c>
      <c r="D36" s="895"/>
      <c r="E36" s="891">
        <f t="shared" si="8"/>
        <v>4690164</v>
      </c>
      <c r="F36" s="891">
        <f>+I36+L36+O36+R36</f>
        <v>9146167</v>
      </c>
      <c r="G36" s="891">
        <f t="shared" si="9"/>
        <v>9146007</v>
      </c>
      <c r="H36" s="112">
        <v>3693043</v>
      </c>
      <c r="I36" s="112">
        <f>3693043+3600790-92126</f>
        <v>7201707</v>
      </c>
      <c r="J36" s="112">
        <v>7201580</v>
      </c>
      <c r="K36" s="112"/>
      <c r="L36" s="112"/>
      <c r="M36" s="112"/>
      <c r="N36" s="112"/>
      <c r="O36" s="112"/>
      <c r="P36" s="63"/>
      <c r="Q36" s="892">
        <v>997121</v>
      </c>
      <c r="R36" s="112">
        <f>997121+972213-24874</f>
        <v>1944460</v>
      </c>
      <c r="S36" s="63">
        <v>1944427</v>
      </c>
      <c r="T36" s="976">
        <f t="shared" si="5"/>
        <v>4573164</v>
      </c>
      <c r="U36" s="288"/>
      <c r="V36" s="124">
        <v>4573003</v>
      </c>
      <c r="W36" s="288"/>
      <c r="X36" s="288"/>
      <c r="Y36" s="63" t="s">
        <v>225</v>
      </c>
    </row>
    <row r="37" spans="1:27" ht="33.75" customHeight="1" x14ac:dyDescent="0.2">
      <c r="A37" s="898" t="s">
        <v>1414</v>
      </c>
      <c r="B37" s="323" t="s">
        <v>512</v>
      </c>
      <c r="C37" s="142" t="s">
        <v>1415</v>
      </c>
      <c r="D37" s="327"/>
      <c r="E37" s="899">
        <f t="shared" si="8"/>
        <v>0</v>
      </c>
      <c r="F37" s="899">
        <f>+I37+L37+O37+R37</f>
        <v>88545</v>
      </c>
      <c r="G37" s="899">
        <f>+J37+M37+P37+S37</f>
        <v>88544</v>
      </c>
      <c r="H37" s="143"/>
      <c r="I37" s="143">
        <f>376000+69720-376000</f>
        <v>69720</v>
      </c>
      <c r="J37" s="143">
        <v>69720</v>
      </c>
      <c r="K37" s="143"/>
      <c r="L37" s="143"/>
      <c r="M37" s="143"/>
      <c r="N37" s="143"/>
      <c r="O37" s="143"/>
      <c r="P37" s="162"/>
      <c r="Q37" s="900"/>
      <c r="R37" s="143">
        <f>101520+18825-101520</f>
        <v>18825</v>
      </c>
      <c r="S37" s="162">
        <v>18824</v>
      </c>
      <c r="T37" s="976">
        <f t="shared" si="5"/>
        <v>88545</v>
      </c>
      <c r="U37" s="285"/>
      <c r="V37" s="141"/>
      <c r="W37" s="285"/>
      <c r="X37" s="285"/>
      <c r="Y37" s="162" t="s">
        <v>225</v>
      </c>
    </row>
    <row r="38" spans="1:27" ht="27" customHeight="1" x14ac:dyDescent="0.2">
      <c r="A38" s="901" t="s">
        <v>29</v>
      </c>
      <c r="B38" s="902"/>
      <c r="C38" s="902"/>
      <c r="D38" s="902"/>
      <c r="E38" s="903">
        <f>+E9+E7</f>
        <v>227236267</v>
      </c>
      <c r="F38" s="903">
        <f>+F9+F7</f>
        <v>174757458</v>
      </c>
      <c r="G38" s="903">
        <f>+G9+G7</f>
        <v>130277202</v>
      </c>
      <c r="H38" s="903">
        <f t="shared" ref="H38:X38" si="10">+H9+H7</f>
        <v>178926194</v>
      </c>
      <c r="I38" s="903">
        <f t="shared" si="10"/>
        <v>137604297</v>
      </c>
      <c r="J38" s="903">
        <f>+J9+J7</f>
        <v>102580473</v>
      </c>
      <c r="K38" s="903">
        <f t="shared" si="10"/>
        <v>0</v>
      </c>
      <c r="L38" s="903">
        <f t="shared" si="10"/>
        <v>0</v>
      </c>
      <c r="M38" s="903"/>
      <c r="N38" s="903">
        <f t="shared" si="10"/>
        <v>0</v>
      </c>
      <c r="O38" s="903">
        <f t="shared" si="10"/>
        <v>0</v>
      </c>
      <c r="P38" s="904"/>
      <c r="Q38" s="905">
        <f t="shared" si="10"/>
        <v>48310073</v>
      </c>
      <c r="R38" s="903">
        <f t="shared" si="10"/>
        <v>37153161</v>
      </c>
      <c r="S38" s="903">
        <f t="shared" si="10"/>
        <v>27696729</v>
      </c>
      <c r="T38" s="905">
        <f>+T9+T7</f>
        <v>170184455</v>
      </c>
      <c r="U38" s="903">
        <f t="shared" si="10"/>
        <v>0</v>
      </c>
      <c r="V38" s="903">
        <f t="shared" si="10"/>
        <v>4573003</v>
      </c>
      <c r="W38" s="903">
        <f t="shared" si="10"/>
        <v>0</v>
      </c>
      <c r="X38" s="903">
        <f t="shared" si="10"/>
        <v>0</v>
      </c>
      <c r="Y38" s="904"/>
      <c r="Z38" s="8" t="e">
        <f>+T38+U38+W38+#REF!</f>
        <v>#REF!</v>
      </c>
      <c r="AA38" s="8" t="e">
        <f>+E38-Z38</f>
        <v>#REF!</v>
      </c>
    </row>
    <row r="39" spans="1:27" ht="15.75" customHeight="1" x14ac:dyDescent="0.2">
      <c r="G39" s="906">
        <v>90039672</v>
      </c>
      <c r="J39" s="13">
        <f>+J38+M38+P38+S38</f>
        <v>130277202</v>
      </c>
    </row>
    <row r="40" spans="1:27" x14ac:dyDescent="0.2">
      <c r="E40" s="8">
        <f>+'[2]3. sz.Városi szintű összesen'!M17</f>
        <v>227236267</v>
      </c>
      <c r="G40" s="13">
        <f>+G39-G38</f>
        <v>-40237530</v>
      </c>
    </row>
    <row r="41" spans="1:27" ht="15.75" customHeight="1" x14ac:dyDescent="0.2">
      <c r="E41" s="8">
        <v>475600396</v>
      </c>
    </row>
    <row r="42" spans="1:27" x14ac:dyDescent="0.2">
      <c r="C42" s="908"/>
      <c r="D42" s="909"/>
      <c r="E42" s="910">
        <f>+E38-E41</f>
        <v>-248364129</v>
      </c>
      <c r="F42" s="910"/>
      <c r="G42" s="910"/>
      <c r="N42" s="910"/>
      <c r="O42" s="910"/>
      <c r="P42" s="910"/>
      <c r="Q42" s="910"/>
      <c r="R42" s="910"/>
      <c r="S42" s="910"/>
      <c r="T42" s="911"/>
      <c r="U42" s="912"/>
      <c r="V42" s="912"/>
      <c r="W42" s="912"/>
      <c r="X42" s="912"/>
    </row>
    <row r="43" spans="1:27" ht="15.75" customHeight="1" x14ac:dyDescent="0.2"/>
    <row r="44" spans="1:27" ht="15.75" customHeight="1" x14ac:dyDescent="0.2">
      <c r="G44" s="913">
        <v>130277202</v>
      </c>
    </row>
    <row r="45" spans="1:27" ht="15.75" customHeight="1" x14ac:dyDescent="0.2">
      <c r="G45" s="13">
        <f>+G44-G38</f>
        <v>0</v>
      </c>
    </row>
    <row r="46" spans="1:27" ht="15.75" customHeight="1" x14ac:dyDescent="0.2"/>
    <row r="51" ht="15.75" customHeight="1" x14ac:dyDescent="0.2"/>
    <row r="52" ht="24.75" customHeight="1" x14ac:dyDescent="0.2"/>
    <row r="59"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28.15" customHeight="1" x14ac:dyDescent="0.2"/>
    <row r="72" ht="15.75" customHeight="1" x14ac:dyDescent="0.2"/>
    <row r="73" ht="15.75" customHeight="1" x14ac:dyDescent="0.2"/>
    <row r="75" ht="15.75" customHeight="1" x14ac:dyDescent="0.2"/>
    <row r="76" ht="15.75" customHeight="1" x14ac:dyDescent="0.2"/>
    <row r="77" ht="15.75" customHeight="1" x14ac:dyDescent="0.2"/>
    <row r="78" ht="15.75" customHeight="1" x14ac:dyDescent="0.2"/>
    <row r="80" ht="15.75" customHeight="1" x14ac:dyDescent="0.2"/>
    <row r="82" spans="8:20" x14ac:dyDescent="0.2">
      <c r="H82" s="9"/>
      <c r="I82" s="9"/>
      <c r="J82" s="9"/>
      <c r="K82" s="9"/>
      <c r="L82" s="9"/>
      <c r="M82" s="9"/>
    </row>
    <row r="84" spans="8:20" s="9" customFormat="1" ht="24" customHeight="1" x14ac:dyDescent="0.2">
      <c r="H84" s="8"/>
      <c r="I84" s="8"/>
      <c r="J84" s="8"/>
      <c r="K84" s="8"/>
      <c r="L84" s="8"/>
      <c r="M84" s="8"/>
      <c r="T84" s="914"/>
    </row>
    <row r="85" spans="8:20" ht="19.5" customHeight="1" x14ac:dyDescent="0.2"/>
    <row r="86" spans="8:20" ht="18" customHeight="1" x14ac:dyDescent="0.2"/>
    <row r="87" spans="8:20" ht="18" customHeight="1" x14ac:dyDescent="0.2"/>
    <row r="88" spans="8:20" ht="18" customHeight="1" x14ac:dyDescent="0.2"/>
    <row r="89" spans="8:20" ht="18" customHeight="1" x14ac:dyDescent="0.2"/>
    <row r="90" spans="8:20" ht="18" customHeight="1" x14ac:dyDescent="0.2"/>
    <row r="91" spans="8:20" ht="18" customHeight="1" x14ac:dyDescent="0.2"/>
    <row r="92" spans="8:20" ht="18" customHeight="1" x14ac:dyDescent="0.2"/>
    <row r="93" spans="8:20" ht="18" customHeight="1" x14ac:dyDescent="0.2"/>
    <row r="94" spans="8:20" ht="18" customHeight="1" x14ac:dyDescent="0.2"/>
    <row r="106" spans="8:20" x14ac:dyDescent="0.2">
      <c r="H106" s="9"/>
      <c r="I106" s="9"/>
      <c r="J106" s="9"/>
      <c r="K106" s="9"/>
      <c r="L106" s="9"/>
      <c r="M106" s="9"/>
    </row>
    <row r="107" spans="8:20" ht="15.75" x14ac:dyDescent="0.25">
      <c r="H107" s="10"/>
      <c r="I107" s="10"/>
      <c r="J107" s="10"/>
      <c r="K107" s="10"/>
      <c r="L107" s="10"/>
      <c r="M107" s="10"/>
    </row>
    <row r="108" spans="8:20" s="9" customFormat="1" ht="24" customHeight="1" x14ac:dyDescent="0.2">
      <c r="H108" s="8"/>
      <c r="I108" s="8"/>
      <c r="J108" s="8"/>
      <c r="K108" s="8"/>
      <c r="L108" s="8"/>
      <c r="M108" s="8"/>
      <c r="T108" s="914"/>
    </row>
    <row r="109" spans="8:20" s="10" customFormat="1" ht="28.5" customHeight="1" x14ac:dyDescent="0.25">
      <c r="H109" s="8"/>
      <c r="I109" s="8"/>
      <c r="J109" s="8"/>
      <c r="K109" s="8"/>
      <c r="L109" s="8"/>
      <c r="M109" s="8"/>
      <c r="T109" s="915"/>
    </row>
  </sheetData>
  <mergeCells count="25">
    <mergeCell ref="T1:Y1"/>
    <mergeCell ref="A3:A5"/>
    <mergeCell ref="B3:B5"/>
    <mergeCell ref="C3:C5"/>
    <mergeCell ref="D3:D5"/>
    <mergeCell ref="T3:Y3"/>
    <mergeCell ref="E4:G5"/>
    <mergeCell ref="H4:J5"/>
    <mergeCell ref="K4:M5"/>
    <mergeCell ref="E1:S1"/>
    <mergeCell ref="A7:C7"/>
    <mergeCell ref="A9:C9"/>
    <mergeCell ref="X4:X6"/>
    <mergeCell ref="Y4:Y6"/>
    <mergeCell ref="E6:G6"/>
    <mergeCell ref="H6:J6"/>
    <mergeCell ref="K6:M6"/>
    <mergeCell ref="N6:P6"/>
    <mergeCell ref="Q6:S6"/>
    <mergeCell ref="N4:P5"/>
    <mergeCell ref="Q4:S5"/>
    <mergeCell ref="T4:T6"/>
    <mergeCell ref="U4:U6"/>
    <mergeCell ref="V4:V6"/>
    <mergeCell ref="W4:W6"/>
  </mergeCells>
  <printOptions horizontalCentered="1" verticalCentered="1"/>
  <pageMargins left="0.19685039370078741" right="0.19685039370078741" top="0.59055118110236227" bottom="0.15748031496062992" header="0.31496062992125984" footer="0.31496062992125984"/>
  <pageSetup paperSize="9" scale="41" orientation="landscape" r:id="rId1"/>
  <headerFooter>
    <oddHeader xml:space="preserve">&amp;C2022. évi zárszámadás&amp;R&amp;A
</oddHeader>
    <oddFooter>&amp;C&amp;P/&amp;N</oddFooter>
  </headerFooter>
  <rowBreaks count="2" manualBreakCount="2">
    <brk id="39" max="16383" man="1"/>
    <brk id="84" max="14" man="1"/>
  </rowBreaks>
  <colBreaks count="1" manualBreakCount="1">
    <brk id="16" max="3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79"/>
  <sheetViews>
    <sheetView topLeftCell="A70" zoomScale="80" zoomScaleNormal="80" zoomScaleSheetLayoutView="80" workbookViewId="0">
      <selection activeCell="B61" sqref="B61"/>
    </sheetView>
  </sheetViews>
  <sheetFormatPr defaultColWidth="9.140625" defaultRowHeight="12.75" x14ac:dyDescent="0.2"/>
  <cols>
    <col min="1" max="1" width="5" style="37" customWidth="1"/>
    <col min="2" max="2" width="57.140625" style="18" customWidth="1"/>
    <col min="3" max="6" width="18.5703125" style="39" customWidth="1"/>
    <col min="7" max="7" width="18.85546875" style="18" customWidth="1"/>
    <col min="8" max="8" width="16.7109375" style="18" bestFit="1" customWidth="1"/>
    <col min="9" max="9" width="14.28515625" style="18" customWidth="1"/>
    <col min="10" max="10" width="11.85546875" style="18" bestFit="1" customWidth="1"/>
    <col min="11" max="11" width="12.7109375" style="18" bestFit="1" customWidth="1"/>
    <col min="12" max="16384" width="9.140625" style="18"/>
  </cols>
  <sheetData>
    <row r="1" spans="1:8" ht="20.25" customHeight="1" x14ac:dyDescent="0.2">
      <c r="A1" s="1133" t="s">
        <v>34</v>
      </c>
      <c r="B1" s="1133"/>
      <c r="C1" s="1133"/>
      <c r="D1" s="1133"/>
      <c r="E1" s="1133"/>
      <c r="F1" s="1133"/>
      <c r="G1" s="1133"/>
      <c r="H1" s="1133"/>
    </row>
    <row r="2" spans="1:8" ht="27.75" customHeight="1" x14ac:dyDescent="0.25">
      <c r="A2" s="45"/>
      <c r="B2" s="45"/>
      <c r="C2" s="45"/>
      <c r="D2" s="45"/>
      <c r="E2" s="45"/>
      <c r="F2" s="45"/>
      <c r="G2" s="45"/>
      <c r="H2" s="36" t="s">
        <v>415</v>
      </c>
    </row>
    <row r="3" spans="1:8" ht="32.25" customHeight="1" x14ac:dyDescent="0.2">
      <c r="A3" s="1242" t="s">
        <v>37</v>
      </c>
      <c r="B3" s="1242" t="s">
        <v>2</v>
      </c>
      <c r="C3" s="645" t="s">
        <v>274</v>
      </c>
      <c r="D3" s="645" t="s">
        <v>1074</v>
      </c>
      <c r="E3" s="645" t="s">
        <v>274</v>
      </c>
      <c r="F3" s="645" t="s">
        <v>1074</v>
      </c>
      <c r="G3" s="1191" t="s">
        <v>35</v>
      </c>
      <c r="H3" s="1191" t="s">
        <v>11</v>
      </c>
    </row>
    <row r="4" spans="1:8" ht="50.25" customHeight="1" x14ac:dyDescent="0.2">
      <c r="A4" s="1243"/>
      <c r="B4" s="1243"/>
      <c r="C4" s="734" t="s">
        <v>746</v>
      </c>
      <c r="D4" s="734" t="s">
        <v>746</v>
      </c>
      <c r="E4" s="734" t="s">
        <v>764</v>
      </c>
      <c r="F4" s="734" t="s">
        <v>764</v>
      </c>
      <c r="G4" s="1191"/>
      <c r="H4" s="1191"/>
    </row>
    <row r="5" spans="1:8" ht="19.149999999999999" customHeight="1" x14ac:dyDescent="0.2">
      <c r="A5" s="1239" t="s">
        <v>182</v>
      </c>
      <c r="B5" s="1240"/>
      <c r="C5" s="1240"/>
      <c r="D5" s="1240"/>
      <c r="E5" s="1240"/>
      <c r="F5" s="1240"/>
      <c r="G5" s="1240"/>
      <c r="H5" s="1241"/>
    </row>
    <row r="6" spans="1:8" ht="20.25" customHeight="1" x14ac:dyDescent="0.2">
      <c r="A6" s="1237" t="s">
        <v>36</v>
      </c>
      <c r="B6" s="1238"/>
      <c r="C6" s="102">
        <f>SUM(C7:C11)</f>
        <v>52000000</v>
      </c>
      <c r="D6" s="102">
        <f>SUM(D7:D11)</f>
        <v>9565530</v>
      </c>
      <c r="E6" s="102">
        <f>SUM(E7:E10)</f>
        <v>10000000</v>
      </c>
      <c r="F6" s="102">
        <f>SUM(F7:F10)</f>
        <v>10000000</v>
      </c>
      <c r="G6" s="149"/>
      <c r="H6" s="150"/>
    </row>
    <row r="7" spans="1:8" ht="23.25" customHeight="1" x14ac:dyDescent="0.2">
      <c r="A7" s="53" t="s">
        <v>191</v>
      </c>
      <c r="B7" s="283" t="s">
        <v>755</v>
      </c>
      <c r="C7" s="357">
        <v>10000000</v>
      </c>
      <c r="D7" s="357">
        <v>0</v>
      </c>
      <c r="E7" s="308"/>
      <c r="F7" s="308"/>
      <c r="G7" s="272" t="s">
        <v>38</v>
      </c>
      <c r="H7" s="78" t="s">
        <v>225</v>
      </c>
    </row>
    <row r="8" spans="1:8" ht="30" customHeight="1" x14ac:dyDescent="0.2">
      <c r="A8" s="54" t="s">
        <v>192</v>
      </c>
      <c r="B8" s="613" t="s">
        <v>756</v>
      </c>
      <c r="C8" s="351">
        <v>10000000</v>
      </c>
      <c r="D8" s="351">
        <f>10000000-2476500-2476500-5047000</f>
        <v>0</v>
      </c>
      <c r="E8" s="112"/>
      <c r="F8" s="112"/>
      <c r="G8" s="114" t="s">
        <v>38</v>
      </c>
      <c r="H8" s="79" t="s">
        <v>225</v>
      </c>
    </row>
    <row r="9" spans="1:8" ht="30" customHeight="1" x14ac:dyDescent="0.2">
      <c r="A9" s="54" t="s">
        <v>193</v>
      </c>
      <c r="B9" s="613" t="s">
        <v>178</v>
      </c>
      <c r="C9" s="112">
        <v>10000000</v>
      </c>
      <c r="D9" s="112">
        <f>10000000-10000000</f>
        <v>0</v>
      </c>
      <c r="E9" s="112">
        <v>10000000</v>
      </c>
      <c r="F9" s="112">
        <v>10000000</v>
      </c>
      <c r="G9" s="114" t="s">
        <v>38</v>
      </c>
      <c r="H9" s="79" t="s">
        <v>225</v>
      </c>
    </row>
    <row r="10" spans="1:8" s="8" customFormat="1" ht="20.25" customHeight="1" x14ac:dyDescent="0.2">
      <c r="A10" s="54" t="s">
        <v>194</v>
      </c>
      <c r="B10" s="613" t="s">
        <v>934</v>
      </c>
      <c r="C10" s="112">
        <f>3000000+2000000+2000000+5000000+5000000</f>
        <v>17000000</v>
      </c>
      <c r="D10" s="112">
        <v>9561700</v>
      </c>
      <c r="E10" s="112"/>
      <c r="F10" s="112"/>
      <c r="G10" s="114" t="s">
        <v>38</v>
      </c>
      <c r="H10" s="79" t="s">
        <v>225</v>
      </c>
    </row>
    <row r="11" spans="1:8" s="8" customFormat="1" ht="20.25" customHeight="1" x14ac:dyDescent="0.2">
      <c r="A11" s="369" t="s">
        <v>195</v>
      </c>
      <c r="B11" s="607" t="s">
        <v>976</v>
      </c>
      <c r="C11" s="113">
        <v>5000000</v>
      </c>
      <c r="D11" s="113">
        <v>3830</v>
      </c>
      <c r="E11" s="113"/>
      <c r="F11" s="113"/>
      <c r="G11" s="370" t="s">
        <v>38</v>
      </c>
      <c r="H11" s="407" t="s">
        <v>225</v>
      </c>
    </row>
    <row r="12" spans="1:8" ht="20.25" customHeight="1" x14ac:dyDescent="0.2">
      <c r="A12" s="408"/>
      <c r="B12" s="784" t="s">
        <v>349</v>
      </c>
      <c r="C12" s="786">
        <f>SUM(C13:C20)</f>
        <v>28348488</v>
      </c>
      <c r="D12" s="786">
        <f>SUM(D13:D20)</f>
        <v>38100269</v>
      </c>
      <c r="E12" s="786">
        <f>SUM(E13:E20)</f>
        <v>0</v>
      </c>
      <c r="F12" s="786">
        <f>SUM(F13:F20)</f>
        <v>0</v>
      </c>
      <c r="G12" s="781"/>
      <c r="H12" s="782"/>
    </row>
    <row r="13" spans="1:8" ht="18.75" customHeight="1" x14ac:dyDescent="0.2">
      <c r="A13" s="64" t="s">
        <v>191</v>
      </c>
      <c r="B13" s="283" t="s">
        <v>350</v>
      </c>
      <c r="C13" s="70">
        <v>2044893</v>
      </c>
      <c r="D13" s="70">
        <v>2044893</v>
      </c>
      <c r="E13" s="70"/>
      <c r="F13" s="70"/>
      <c r="G13" s="40" t="s">
        <v>38</v>
      </c>
      <c r="H13" s="358" t="s">
        <v>225</v>
      </c>
    </row>
    <row r="14" spans="1:8" ht="18.75" customHeight="1" x14ac:dyDescent="0.2">
      <c r="A14" s="44" t="s">
        <v>192</v>
      </c>
      <c r="B14" s="613" t="s">
        <v>351</v>
      </c>
      <c r="C14" s="62">
        <v>659324</v>
      </c>
      <c r="D14" s="62">
        <v>659324</v>
      </c>
      <c r="E14" s="351"/>
      <c r="F14" s="351"/>
      <c r="G14" s="43" t="s">
        <v>38</v>
      </c>
      <c r="H14" s="66" t="s">
        <v>225</v>
      </c>
    </row>
    <row r="15" spans="1:8" ht="18.75" customHeight="1" x14ac:dyDescent="0.2">
      <c r="A15" s="44" t="s">
        <v>193</v>
      </c>
      <c r="B15" s="613" t="s">
        <v>352</v>
      </c>
      <c r="C15" s="62">
        <v>4074055</v>
      </c>
      <c r="D15" s="62">
        <v>4074055</v>
      </c>
      <c r="E15" s="62"/>
      <c r="F15" s="62"/>
      <c r="G15" s="43" t="s">
        <v>38</v>
      </c>
      <c r="H15" s="66" t="s">
        <v>225</v>
      </c>
    </row>
    <row r="16" spans="1:8" ht="18.75" customHeight="1" x14ac:dyDescent="0.2">
      <c r="A16" s="44" t="s">
        <v>194</v>
      </c>
      <c r="B16" s="613" t="s">
        <v>353</v>
      </c>
      <c r="C16" s="62">
        <v>1521732</v>
      </c>
      <c r="D16" s="62">
        <v>2373132</v>
      </c>
      <c r="E16" s="62"/>
      <c r="F16" s="62"/>
      <c r="G16" s="43" t="s">
        <v>38</v>
      </c>
      <c r="H16" s="66" t="s">
        <v>225</v>
      </c>
    </row>
    <row r="17" spans="1:11" ht="18.75" customHeight="1" x14ac:dyDescent="0.2">
      <c r="A17" s="44" t="s">
        <v>195</v>
      </c>
      <c r="B17" s="613" t="s">
        <v>354</v>
      </c>
      <c r="C17" s="62">
        <v>9494228</v>
      </c>
      <c r="D17" s="62">
        <v>10494228</v>
      </c>
      <c r="E17" s="62"/>
      <c r="F17" s="62"/>
      <c r="G17" s="43" t="s">
        <v>38</v>
      </c>
      <c r="H17" s="66" t="s">
        <v>225</v>
      </c>
    </row>
    <row r="18" spans="1:11" ht="18.75" customHeight="1" x14ac:dyDescent="0.2">
      <c r="A18" s="44" t="s">
        <v>196</v>
      </c>
      <c r="B18" s="613" t="s">
        <v>896</v>
      </c>
      <c r="C18" s="351">
        <v>10245932</v>
      </c>
      <c r="D18" s="351">
        <v>18146313</v>
      </c>
      <c r="E18" s="351"/>
      <c r="F18" s="351"/>
      <c r="G18" s="43" t="s">
        <v>38</v>
      </c>
      <c r="H18" s="66" t="s">
        <v>225</v>
      </c>
    </row>
    <row r="19" spans="1:11" ht="28.5" customHeight="1" x14ac:dyDescent="0.2">
      <c r="A19" s="44" t="s">
        <v>197</v>
      </c>
      <c r="B19" s="613" t="s">
        <v>770</v>
      </c>
      <c r="C19" s="351">
        <v>308324</v>
      </c>
      <c r="D19" s="351">
        <v>308324</v>
      </c>
      <c r="E19" s="351"/>
      <c r="F19" s="351"/>
      <c r="G19" s="43" t="s">
        <v>38</v>
      </c>
      <c r="H19" s="66" t="s">
        <v>225</v>
      </c>
    </row>
    <row r="20" spans="1:11" s="8" customFormat="1" ht="26.25" customHeight="1" x14ac:dyDescent="0.2">
      <c r="A20" s="138" t="s">
        <v>198</v>
      </c>
      <c r="B20" s="142" t="s">
        <v>645</v>
      </c>
      <c r="C20" s="143">
        <v>0</v>
      </c>
      <c r="D20" s="143">
        <v>0</v>
      </c>
      <c r="E20" s="143"/>
      <c r="F20" s="143"/>
      <c r="G20" s="144" t="s">
        <v>38</v>
      </c>
      <c r="H20" s="11" t="s">
        <v>225</v>
      </c>
    </row>
    <row r="21" spans="1:11" ht="18.75" customHeight="1" x14ac:dyDescent="0.2">
      <c r="A21" s="67"/>
      <c r="B21" s="69" t="s">
        <v>413</v>
      </c>
      <c r="C21" s="110">
        <f>C22</f>
        <v>0</v>
      </c>
      <c r="D21" s="110">
        <f>D22</f>
        <v>0</v>
      </c>
      <c r="E21" s="110">
        <f>E22</f>
        <v>0</v>
      </c>
      <c r="F21" s="110">
        <f>F22</f>
        <v>0</v>
      </c>
      <c r="G21" s="68"/>
      <c r="H21" s="779"/>
    </row>
    <row r="22" spans="1:11" ht="18.75" customHeight="1" x14ac:dyDescent="0.2">
      <c r="A22" s="777"/>
      <c r="B22" s="106"/>
      <c r="C22" s="111"/>
      <c r="D22" s="111"/>
      <c r="E22" s="111"/>
      <c r="F22" s="111"/>
      <c r="G22" s="778"/>
      <c r="H22" s="359"/>
    </row>
    <row r="23" spans="1:11" ht="20.25" customHeight="1" x14ac:dyDescent="0.2">
      <c r="A23" s="1239" t="s">
        <v>183</v>
      </c>
      <c r="B23" s="1240"/>
      <c r="C23" s="1240"/>
      <c r="D23" s="1240"/>
      <c r="E23" s="1240"/>
      <c r="F23" s="1240"/>
      <c r="G23" s="1240"/>
      <c r="H23" s="1241"/>
      <c r="K23" s="18">
        <v>163370000</v>
      </c>
    </row>
    <row r="24" spans="1:11" s="38" customFormat="1" ht="20.25" customHeight="1" x14ac:dyDescent="0.2">
      <c r="A24" s="1237" t="s">
        <v>184</v>
      </c>
      <c r="B24" s="1238"/>
      <c r="C24" s="102">
        <f>+C25</f>
        <v>0</v>
      </c>
      <c r="D24" s="102">
        <f>+D25</f>
        <v>0</v>
      </c>
      <c r="E24" s="102">
        <f>+E25</f>
        <v>0</v>
      </c>
      <c r="F24" s="102">
        <f>+F25</f>
        <v>0</v>
      </c>
      <c r="G24" s="103"/>
      <c r="H24" s="104"/>
      <c r="K24" s="38">
        <v>167220000</v>
      </c>
    </row>
    <row r="25" spans="1:11" ht="20.25" customHeight="1" x14ac:dyDescent="0.2">
      <c r="A25" s="360"/>
      <c r="B25" s="361"/>
      <c r="C25" s="362">
        <v>0</v>
      </c>
      <c r="D25" s="362">
        <v>0</v>
      </c>
      <c r="E25" s="362"/>
      <c r="F25" s="362"/>
      <c r="G25" s="778"/>
      <c r="H25" s="363"/>
      <c r="K25" s="18">
        <f>+K24-K23</f>
        <v>3850000</v>
      </c>
    </row>
    <row r="26" spans="1:11" ht="20.25" customHeight="1" x14ac:dyDescent="0.2">
      <c r="A26" s="59"/>
      <c r="B26" s="48"/>
      <c r="C26" s="49"/>
      <c r="D26" s="49"/>
      <c r="E26" s="49"/>
      <c r="F26" s="49"/>
      <c r="G26" s="50"/>
      <c r="H26" s="71"/>
    </row>
    <row r="27" spans="1:11" s="38" customFormat="1" ht="20.25" customHeight="1" x14ac:dyDescent="0.2">
      <c r="A27" s="1237" t="s">
        <v>185</v>
      </c>
      <c r="B27" s="1238"/>
      <c r="C27" s="102">
        <f>SUM(C28:C45)</f>
        <v>420919836</v>
      </c>
      <c r="D27" s="102">
        <f>SUM(D28:D45)</f>
        <v>70156599</v>
      </c>
      <c r="E27" s="102">
        <f>SUM(E28:E45)</f>
        <v>0</v>
      </c>
      <c r="F27" s="102">
        <f>SUM(F28:F45)</f>
        <v>0</v>
      </c>
      <c r="G27" s="103"/>
      <c r="H27" s="104"/>
    </row>
    <row r="28" spans="1:11" ht="18.75" customHeight="1" x14ac:dyDescent="0.2">
      <c r="A28" s="53" t="s">
        <v>191</v>
      </c>
      <c r="B28" s="283" t="s">
        <v>48</v>
      </c>
      <c r="C28" s="284">
        <v>235459836</v>
      </c>
      <c r="D28" s="284">
        <v>6048465</v>
      </c>
      <c r="E28" s="284"/>
      <c r="F28" s="284"/>
      <c r="G28" s="272" t="s">
        <v>38</v>
      </c>
      <c r="H28" s="78" t="s">
        <v>225</v>
      </c>
    </row>
    <row r="29" spans="1:11" s="8" customFormat="1" ht="18.75" customHeight="1" x14ac:dyDescent="0.2">
      <c r="A29" s="54" t="s">
        <v>192</v>
      </c>
      <c r="B29" s="613" t="s">
        <v>799</v>
      </c>
      <c r="C29" s="124">
        <v>10000000</v>
      </c>
      <c r="D29" s="124">
        <f>10000000-3294400-6705600</f>
        <v>0</v>
      </c>
      <c r="E29" s="124"/>
      <c r="F29" s="124"/>
      <c r="G29" s="114" t="s">
        <v>38</v>
      </c>
      <c r="H29" s="79" t="s">
        <v>225</v>
      </c>
    </row>
    <row r="30" spans="1:11" ht="18.75" customHeight="1" x14ac:dyDescent="0.2">
      <c r="A30" s="54" t="s">
        <v>193</v>
      </c>
      <c r="B30" s="613" t="s">
        <v>796</v>
      </c>
      <c r="C30" s="124">
        <v>3000000</v>
      </c>
      <c r="D30" s="124">
        <f>3000000-3000000</f>
        <v>0</v>
      </c>
      <c r="E30" s="124"/>
      <c r="F30" s="124"/>
      <c r="G30" s="114" t="s">
        <v>38</v>
      </c>
      <c r="H30" s="79" t="s">
        <v>225</v>
      </c>
    </row>
    <row r="31" spans="1:11" ht="18.75" customHeight="1" x14ac:dyDescent="0.2">
      <c r="A31" s="54" t="s">
        <v>194</v>
      </c>
      <c r="B31" s="72" t="s">
        <v>43</v>
      </c>
      <c r="C31" s="124">
        <f>3000000+390000</f>
        <v>3390000</v>
      </c>
      <c r="D31" s="124">
        <f>3000000+390000-3390000</f>
        <v>0</v>
      </c>
      <c r="E31" s="124"/>
      <c r="F31" s="124"/>
      <c r="G31" s="114" t="s">
        <v>38</v>
      </c>
      <c r="H31" s="79" t="s">
        <v>225</v>
      </c>
    </row>
    <row r="32" spans="1:11" ht="18.75" customHeight="1" x14ac:dyDescent="0.2">
      <c r="A32" s="54" t="s">
        <v>195</v>
      </c>
      <c r="B32" s="72" t="s">
        <v>763</v>
      </c>
      <c r="C32" s="124"/>
      <c r="D32" s="124"/>
      <c r="E32" s="124"/>
      <c r="F32" s="124"/>
      <c r="G32" s="114" t="s">
        <v>38</v>
      </c>
      <c r="H32" s="79" t="s">
        <v>225</v>
      </c>
    </row>
    <row r="33" spans="1:8" ht="33" customHeight="1" x14ac:dyDescent="0.2">
      <c r="A33" s="54" t="s">
        <v>196</v>
      </c>
      <c r="B33" s="72" t="s">
        <v>44</v>
      </c>
      <c r="C33" s="124">
        <v>3000000</v>
      </c>
      <c r="D33" s="124">
        <f>3000000-3000000</f>
        <v>0</v>
      </c>
      <c r="E33" s="124"/>
      <c r="F33" s="124"/>
      <c r="G33" s="145" t="s">
        <v>41</v>
      </c>
      <c r="H33" s="79" t="s">
        <v>225</v>
      </c>
    </row>
    <row r="34" spans="1:8" s="8" customFormat="1" ht="33" customHeight="1" x14ac:dyDescent="0.2">
      <c r="A34" s="54" t="s">
        <v>197</v>
      </c>
      <c r="B34" s="72" t="s">
        <v>758</v>
      </c>
      <c r="C34" s="124"/>
      <c r="D34" s="124"/>
      <c r="E34" s="124"/>
      <c r="F34" s="124"/>
      <c r="G34" s="145" t="s">
        <v>38</v>
      </c>
      <c r="H34" s="79" t="s">
        <v>759</v>
      </c>
    </row>
    <row r="35" spans="1:8" s="8" customFormat="1" ht="28.5" customHeight="1" x14ac:dyDescent="0.2">
      <c r="A35" s="54" t="s">
        <v>198</v>
      </c>
      <c r="B35" s="72" t="s">
        <v>45</v>
      </c>
      <c r="C35" s="124">
        <v>2000000</v>
      </c>
      <c r="D35" s="124">
        <f>2000000-750000-1250000</f>
        <v>0</v>
      </c>
      <c r="E35" s="124"/>
      <c r="F35" s="124"/>
      <c r="G35" s="145" t="s">
        <v>41</v>
      </c>
      <c r="H35" s="79" t="s">
        <v>225</v>
      </c>
    </row>
    <row r="36" spans="1:8" s="8" customFormat="1" ht="18.75" customHeight="1" x14ac:dyDescent="0.2">
      <c r="A36" s="54" t="s">
        <v>199</v>
      </c>
      <c r="B36" s="72" t="s">
        <v>46</v>
      </c>
      <c r="C36" s="124">
        <f>3000000+390000</f>
        <v>3390000</v>
      </c>
      <c r="D36" s="124">
        <f>3000000+390000</f>
        <v>3390000</v>
      </c>
      <c r="E36" s="124"/>
      <c r="F36" s="124"/>
      <c r="G36" s="114" t="s">
        <v>38</v>
      </c>
      <c r="H36" s="79" t="s">
        <v>225</v>
      </c>
    </row>
    <row r="37" spans="1:8" s="8" customFormat="1" ht="18.75" customHeight="1" x14ac:dyDescent="0.2">
      <c r="A37" s="54" t="s">
        <v>200</v>
      </c>
      <c r="B37" s="72" t="s">
        <v>47</v>
      </c>
      <c r="C37" s="124">
        <f>2000000+260000</f>
        <v>2260000</v>
      </c>
      <c r="D37" s="124">
        <v>1300000</v>
      </c>
      <c r="E37" s="124"/>
      <c r="F37" s="124"/>
      <c r="G37" s="114" t="s">
        <v>38</v>
      </c>
      <c r="H37" s="79" t="s">
        <v>225</v>
      </c>
    </row>
    <row r="38" spans="1:8" s="8" customFormat="1" ht="18.75" customHeight="1" x14ac:dyDescent="0.2">
      <c r="A38" s="54" t="s">
        <v>201</v>
      </c>
      <c r="B38" s="613" t="s">
        <v>488</v>
      </c>
      <c r="C38" s="124"/>
      <c r="D38" s="124">
        <v>12589534</v>
      </c>
      <c r="E38" s="124"/>
      <c r="F38" s="124"/>
      <c r="G38" s="114" t="s">
        <v>38</v>
      </c>
      <c r="H38" s="79" t="s">
        <v>225</v>
      </c>
    </row>
    <row r="39" spans="1:8" ht="18.75" customHeight="1" x14ac:dyDescent="0.2">
      <c r="A39" s="54" t="s">
        <v>228</v>
      </c>
      <c r="B39" s="322" t="s">
        <v>558</v>
      </c>
      <c r="C39" s="124">
        <v>10000000</v>
      </c>
      <c r="D39" s="124">
        <v>10000000</v>
      </c>
      <c r="E39" s="124"/>
      <c r="F39" s="124"/>
      <c r="G39" s="114" t="s">
        <v>38</v>
      </c>
      <c r="H39" s="79" t="s">
        <v>225</v>
      </c>
    </row>
    <row r="40" spans="1:8" ht="18.75" customHeight="1" x14ac:dyDescent="0.2">
      <c r="A40" s="54" t="s">
        <v>229</v>
      </c>
      <c r="B40" s="322" t="s">
        <v>805</v>
      </c>
      <c r="C40" s="124"/>
      <c r="D40" s="124"/>
      <c r="E40" s="124"/>
      <c r="F40" s="124"/>
      <c r="G40" s="114"/>
      <c r="H40" s="79"/>
    </row>
    <row r="41" spans="1:8" ht="18.75" customHeight="1" x14ac:dyDescent="0.2">
      <c r="A41" s="54" t="s">
        <v>230</v>
      </c>
      <c r="B41" s="322" t="s">
        <v>751</v>
      </c>
      <c r="C41" s="124">
        <v>35000000</v>
      </c>
      <c r="D41" s="124">
        <f>35000000-35000000</f>
        <v>0</v>
      </c>
      <c r="E41" s="124"/>
      <c r="F41" s="124"/>
      <c r="G41" s="114" t="s">
        <v>38</v>
      </c>
      <c r="H41" s="79" t="s">
        <v>225</v>
      </c>
    </row>
    <row r="42" spans="1:8" ht="18.75" customHeight="1" x14ac:dyDescent="0.2">
      <c r="A42" s="54" t="s">
        <v>231</v>
      </c>
      <c r="B42" s="322" t="s">
        <v>750</v>
      </c>
      <c r="C42" s="124">
        <v>75000000</v>
      </c>
      <c r="D42" s="124">
        <v>35368600</v>
      </c>
      <c r="E42" s="124"/>
      <c r="F42" s="124"/>
      <c r="G42" s="114" t="s">
        <v>38</v>
      </c>
      <c r="H42" s="79" t="s">
        <v>225</v>
      </c>
    </row>
    <row r="43" spans="1:8" ht="18.75" customHeight="1" x14ac:dyDescent="0.2">
      <c r="A43" s="54" t="s">
        <v>232</v>
      </c>
      <c r="B43" s="613" t="s">
        <v>912</v>
      </c>
      <c r="C43" s="124">
        <f>2000000+260000</f>
        <v>2260000</v>
      </c>
      <c r="D43" s="124">
        <v>1460000</v>
      </c>
      <c r="E43" s="124"/>
      <c r="F43" s="124"/>
      <c r="G43" s="114" t="s">
        <v>38</v>
      </c>
      <c r="H43" s="79" t="s">
        <v>225</v>
      </c>
    </row>
    <row r="44" spans="1:8" ht="18.75" customHeight="1" x14ac:dyDescent="0.2">
      <c r="A44" s="54" t="s">
        <v>233</v>
      </c>
      <c r="B44" s="613" t="s">
        <v>913</v>
      </c>
      <c r="C44" s="124">
        <f>20000000+2600000</f>
        <v>22600000</v>
      </c>
      <c r="D44" s="124">
        <f>20000000+2600000-3186600-19413400</f>
        <v>0</v>
      </c>
      <c r="E44" s="124"/>
      <c r="F44" s="124"/>
      <c r="G44" s="114" t="s">
        <v>38</v>
      </c>
      <c r="H44" s="79" t="s">
        <v>225</v>
      </c>
    </row>
    <row r="45" spans="1:8" ht="18.75" customHeight="1" x14ac:dyDescent="0.2">
      <c r="A45" s="138" t="s">
        <v>234</v>
      </c>
      <c r="B45" s="142" t="s">
        <v>914</v>
      </c>
      <c r="C45" s="141">
        <f>12000000+1560000</f>
        <v>13560000</v>
      </c>
      <c r="D45" s="141">
        <v>0</v>
      </c>
      <c r="E45" s="141"/>
      <c r="F45" s="141"/>
      <c r="G45" s="144" t="s">
        <v>38</v>
      </c>
      <c r="H45" s="11" t="s">
        <v>225</v>
      </c>
    </row>
    <row r="46" spans="1:8" ht="20.25" customHeight="1" x14ac:dyDescent="0.2">
      <c r="A46" s="59"/>
      <c r="B46" s="48"/>
      <c r="C46" s="49"/>
      <c r="D46" s="49"/>
      <c r="E46" s="49"/>
      <c r="F46" s="49"/>
      <c r="G46" s="50"/>
      <c r="H46" s="51"/>
    </row>
    <row r="47" spans="1:8" s="38" customFormat="1" ht="20.25" customHeight="1" x14ac:dyDescent="0.2">
      <c r="A47" s="1231" t="s">
        <v>186</v>
      </c>
      <c r="B47" s="1232"/>
      <c r="C47" s="99">
        <f>SUM(C48:C49)</f>
        <v>100000000</v>
      </c>
      <c r="D47" s="99">
        <f>SUM(D48:D49)</f>
        <v>52908541</v>
      </c>
      <c r="E47" s="99">
        <f>SUM(E48:E49)</f>
        <v>0</v>
      </c>
      <c r="F47" s="99">
        <f>SUM(F48:F49)</f>
        <v>0</v>
      </c>
      <c r="G47" s="100"/>
      <c r="H47" s="101"/>
    </row>
    <row r="48" spans="1:8" s="38" customFormat="1" ht="28.5" customHeight="1" x14ac:dyDescent="0.2">
      <c r="A48" s="53" t="s">
        <v>191</v>
      </c>
      <c r="B48" s="283" t="s">
        <v>111</v>
      </c>
      <c r="C48" s="284">
        <v>50000000</v>
      </c>
      <c r="D48" s="284">
        <v>50000000</v>
      </c>
      <c r="E48" s="284">
        <v>0</v>
      </c>
      <c r="F48" s="284"/>
      <c r="G48" s="272" t="s">
        <v>38</v>
      </c>
      <c r="H48" s="78" t="s">
        <v>225</v>
      </c>
    </row>
    <row r="49" spans="1:9" ht="21" customHeight="1" x14ac:dyDescent="0.2">
      <c r="A49" s="138" t="s">
        <v>192</v>
      </c>
      <c r="B49" s="142" t="s">
        <v>609</v>
      </c>
      <c r="C49" s="141">
        <f>50000000</f>
        <v>50000000</v>
      </c>
      <c r="D49" s="141">
        <v>2908541</v>
      </c>
      <c r="E49" s="350"/>
      <c r="F49" s="350"/>
      <c r="G49" s="144" t="s">
        <v>38</v>
      </c>
      <c r="H49" s="11" t="s">
        <v>225</v>
      </c>
      <c r="I49" s="18" t="s">
        <v>597</v>
      </c>
    </row>
    <row r="50" spans="1:9" ht="23.25" customHeight="1" x14ac:dyDescent="0.2">
      <c r="A50" s="55"/>
      <c r="C50" s="52"/>
      <c r="D50" s="52"/>
      <c r="E50" s="52"/>
      <c r="F50" s="52"/>
      <c r="H50" s="197"/>
    </row>
    <row r="51" spans="1:9" ht="20.25" customHeight="1" x14ac:dyDescent="0.2">
      <c r="A51" s="1237" t="s">
        <v>187</v>
      </c>
      <c r="B51" s="1238"/>
      <c r="C51" s="102">
        <f>SUM(C52:C54)</f>
        <v>18000000</v>
      </c>
      <c r="D51" s="102">
        <f>SUM(D52:D54)</f>
        <v>415000</v>
      </c>
      <c r="E51" s="102">
        <f>SUM(E52:E54)</f>
        <v>0</v>
      </c>
      <c r="F51" s="102">
        <f>SUM(F52:F54)</f>
        <v>0</v>
      </c>
      <c r="G51" s="1233"/>
      <c r="H51" s="1234"/>
    </row>
    <row r="52" spans="1:9" ht="34.5" customHeight="1" x14ac:dyDescent="0.2">
      <c r="A52" s="130" t="s">
        <v>191</v>
      </c>
      <c r="B52" s="608" t="s">
        <v>610</v>
      </c>
      <c r="C52" s="93">
        <v>15000000</v>
      </c>
      <c r="D52" s="93">
        <f>15000000-15000000</f>
        <v>0</v>
      </c>
      <c r="E52" s="93"/>
      <c r="F52" s="93"/>
      <c r="G52" s="131" t="s">
        <v>40</v>
      </c>
      <c r="H52" s="148" t="s">
        <v>225</v>
      </c>
    </row>
    <row r="53" spans="1:9" ht="29.25" customHeight="1" x14ac:dyDescent="0.2">
      <c r="A53" s="54" t="s">
        <v>192</v>
      </c>
      <c r="B53" s="613" t="s">
        <v>39</v>
      </c>
      <c r="C53" s="112">
        <v>1000000</v>
      </c>
      <c r="D53" s="112">
        <v>415000</v>
      </c>
      <c r="E53" s="112"/>
      <c r="F53" s="112"/>
      <c r="G53" s="145" t="s">
        <v>41</v>
      </c>
      <c r="H53" s="79" t="s">
        <v>225</v>
      </c>
    </row>
    <row r="54" spans="1:9" ht="30" customHeight="1" x14ac:dyDescent="0.2">
      <c r="A54" s="138" t="s">
        <v>193</v>
      </c>
      <c r="B54" s="142" t="s">
        <v>607</v>
      </c>
      <c r="C54" s="141">
        <v>2000000</v>
      </c>
      <c r="D54" s="141">
        <v>0</v>
      </c>
      <c r="E54" s="141"/>
      <c r="F54" s="141"/>
      <c r="G54" s="409" t="s">
        <v>41</v>
      </c>
      <c r="H54" s="11" t="s">
        <v>225</v>
      </c>
    </row>
    <row r="55" spans="1:9" ht="18.75" customHeight="1" x14ac:dyDescent="0.2">
      <c r="A55" s="55"/>
      <c r="B55" s="56"/>
      <c r="C55" s="52"/>
      <c r="D55" s="52"/>
      <c r="E55" s="52"/>
      <c r="F55" s="52"/>
      <c r="G55" s="57"/>
      <c r="H55" s="406"/>
    </row>
    <row r="56" spans="1:9" s="38" customFormat="1" ht="20.25" customHeight="1" x14ac:dyDescent="0.2">
      <c r="A56" s="1237" t="s">
        <v>188</v>
      </c>
      <c r="B56" s="1238"/>
      <c r="C56" s="102">
        <f>SUM(C57:C68)</f>
        <v>247281638</v>
      </c>
      <c r="D56" s="102">
        <f>SUM(D57:D69)</f>
        <v>1668241251</v>
      </c>
      <c r="E56" s="102">
        <f>SUM(E57:E68)</f>
        <v>10000000</v>
      </c>
      <c r="F56" s="102">
        <f>SUM(F57:F68)</f>
        <v>10000000</v>
      </c>
      <c r="G56" s="103"/>
      <c r="H56" s="104"/>
    </row>
    <row r="57" spans="1:9" s="38" customFormat="1" ht="19.5" customHeight="1" x14ac:dyDescent="0.2">
      <c r="A57" s="53" t="s">
        <v>191</v>
      </c>
      <c r="B57" s="283" t="s">
        <v>384</v>
      </c>
      <c r="C57" s="308">
        <v>10000000</v>
      </c>
      <c r="D57" s="308">
        <f>10000000-500000-4465300-993597-1482802-712857-1845444</f>
        <v>0</v>
      </c>
      <c r="E57" s="308">
        <v>10000000</v>
      </c>
      <c r="F57" s="308">
        <v>10000000</v>
      </c>
      <c r="G57" s="272" t="s">
        <v>38</v>
      </c>
      <c r="H57" s="78" t="s">
        <v>225</v>
      </c>
    </row>
    <row r="58" spans="1:9" s="38" customFormat="1" ht="19.5" customHeight="1" x14ac:dyDescent="0.2">
      <c r="A58" s="54" t="s">
        <v>192</v>
      </c>
      <c r="B58" s="613" t="s">
        <v>42</v>
      </c>
      <c r="C58" s="351">
        <f>30500000+63500000-64000000+864742</f>
        <v>30864742</v>
      </c>
      <c r="D58" s="351">
        <v>10689866</v>
      </c>
      <c r="E58" s="351"/>
      <c r="F58" s="351"/>
      <c r="G58" s="114" t="s">
        <v>38</v>
      </c>
      <c r="H58" s="79" t="s">
        <v>225</v>
      </c>
    </row>
    <row r="59" spans="1:9" s="38" customFormat="1" ht="29.25" customHeight="1" x14ac:dyDescent="0.2">
      <c r="A59" s="54" t="s">
        <v>193</v>
      </c>
      <c r="B59" s="613" t="s">
        <v>776</v>
      </c>
      <c r="C59" s="112">
        <f>46979111+89437785</f>
        <v>136416896</v>
      </c>
      <c r="D59" s="112">
        <f>46979111+89437785-81769454</f>
        <v>54647442</v>
      </c>
      <c r="E59" s="112"/>
      <c r="F59" s="112"/>
      <c r="G59" s="114" t="s">
        <v>38</v>
      </c>
      <c r="H59" s="79" t="s">
        <v>225</v>
      </c>
    </row>
    <row r="60" spans="1:9" s="38" customFormat="1" ht="29.25" customHeight="1" x14ac:dyDescent="0.2">
      <c r="A60" s="54" t="s">
        <v>194</v>
      </c>
      <c r="B60" s="613" t="s">
        <v>794</v>
      </c>
      <c r="C60" s="112"/>
      <c r="D60" s="112"/>
      <c r="E60" s="112"/>
      <c r="F60" s="112"/>
      <c r="G60" s="114"/>
      <c r="H60" s="79"/>
    </row>
    <row r="61" spans="1:9" s="38" customFormat="1" ht="24" customHeight="1" x14ac:dyDescent="0.2">
      <c r="A61" s="54" t="s">
        <v>195</v>
      </c>
      <c r="B61" s="613" t="s">
        <v>1221</v>
      </c>
      <c r="C61" s="112"/>
      <c r="D61" s="112"/>
      <c r="E61" s="112"/>
      <c r="F61" s="112"/>
      <c r="G61" s="114" t="s">
        <v>38</v>
      </c>
      <c r="H61" s="79" t="s">
        <v>225</v>
      </c>
    </row>
    <row r="62" spans="1:9" s="38" customFormat="1" ht="21" customHeight="1" x14ac:dyDescent="0.2">
      <c r="A62" s="54" t="s">
        <v>196</v>
      </c>
      <c r="B62" s="613" t="s">
        <v>605</v>
      </c>
      <c r="C62" s="112">
        <v>20000000</v>
      </c>
      <c r="D62" s="112">
        <v>20000000</v>
      </c>
      <c r="E62" s="351"/>
      <c r="F62" s="351"/>
      <c r="G62" s="114" t="s">
        <v>38</v>
      </c>
      <c r="H62" s="79" t="s">
        <v>225</v>
      </c>
    </row>
    <row r="63" spans="1:9" s="38" customFormat="1" ht="21" customHeight="1" x14ac:dyDescent="0.2">
      <c r="A63" s="54" t="s">
        <v>197</v>
      </c>
      <c r="B63" s="613" t="s">
        <v>519</v>
      </c>
      <c r="C63" s="124">
        <v>50000000</v>
      </c>
      <c r="D63" s="124">
        <v>220740380</v>
      </c>
      <c r="E63" s="124"/>
      <c r="F63" s="124"/>
      <c r="G63" s="114" t="s">
        <v>38</v>
      </c>
      <c r="H63" s="79" t="s">
        <v>225</v>
      </c>
    </row>
    <row r="64" spans="1:9" s="38" customFormat="1" ht="19.5" customHeight="1" x14ac:dyDescent="0.2">
      <c r="A64" s="54" t="s">
        <v>198</v>
      </c>
      <c r="B64" s="364" t="s">
        <v>693</v>
      </c>
      <c r="C64" s="112"/>
      <c r="D64" s="112">
        <v>583643458</v>
      </c>
      <c r="E64" s="112"/>
      <c r="F64" s="112"/>
      <c r="G64" s="114" t="s">
        <v>38</v>
      </c>
      <c r="H64" s="79" t="s">
        <v>225</v>
      </c>
    </row>
    <row r="65" spans="1:11" s="255" customFormat="1" ht="22.5" customHeight="1" x14ac:dyDescent="0.2">
      <c r="A65" s="54" t="s">
        <v>199</v>
      </c>
      <c r="B65" s="322" t="s">
        <v>694</v>
      </c>
      <c r="C65" s="112"/>
      <c r="D65" s="112">
        <v>214553830</v>
      </c>
      <c r="E65" s="112"/>
      <c r="F65" s="112"/>
      <c r="G65" s="114" t="s">
        <v>38</v>
      </c>
      <c r="H65" s="79" t="s">
        <v>225</v>
      </c>
      <c r="K65" s="256"/>
    </row>
    <row r="66" spans="1:11" s="255" customFormat="1" ht="22.5" customHeight="1" x14ac:dyDescent="0.2">
      <c r="A66" s="54" t="s">
        <v>200</v>
      </c>
      <c r="B66" s="322" t="s">
        <v>898</v>
      </c>
      <c r="C66" s="112"/>
      <c r="D66" s="112">
        <f>32017+94060</f>
        <v>126077</v>
      </c>
      <c r="E66" s="112"/>
      <c r="F66" s="112"/>
      <c r="G66" s="114" t="s">
        <v>38</v>
      </c>
      <c r="H66" s="79" t="s">
        <v>225</v>
      </c>
      <c r="K66" s="256"/>
    </row>
    <row r="67" spans="1:11" s="255" customFormat="1" ht="22.5" customHeight="1" x14ac:dyDescent="0.2">
      <c r="A67" s="54" t="s">
        <v>201</v>
      </c>
      <c r="B67" s="322" t="s">
        <v>1453</v>
      </c>
      <c r="C67" s="112"/>
      <c r="D67" s="112">
        <v>60274571</v>
      </c>
      <c r="E67" s="112"/>
      <c r="F67" s="112"/>
      <c r="G67" s="114" t="s">
        <v>38</v>
      </c>
      <c r="H67" s="79" t="s">
        <v>225</v>
      </c>
      <c r="K67" s="256"/>
    </row>
    <row r="68" spans="1:11" s="255" customFormat="1" ht="56.25" customHeight="1" x14ac:dyDescent="0.2">
      <c r="A68" s="54" t="s">
        <v>228</v>
      </c>
      <c r="B68" s="322" t="s">
        <v>1534</v>
      </c>
      <c r="C68" s="112"/>
      <c r="D68" s="112">
        <v>379812552</v>
      </c>
      <c r="E68" s="112"/>
      <c r="F68" s="112"/>
      <c r="G68" s="114" t="s">
        <v>38</v>
      </c>
      <c r="H68" s="79" t="s">
        <v>225</v>
      </c>
      <c r="K68" s="256"/>
    </row>
    <row r="69" spans="1:11" s="255" customFormat="1" ht="59.25" customHeight="1" x14ac:dyDescent="0.2">
      <c r="A69" s="138" t="s">
        <v>229</v>
      </c>
      <c r="B69" s="142" t="s">
        <v>2167</v>
      </c>
      <c r="C69" s="143"/>
      <c r="D69" s="143">
        <v>123753075</v>
      </c>
      <c r="E69" s="143"/>
      <c r="F69" s="143"/>
      <c r="G69" s="144" t="s">
        <v>38</v>
      </c>
      <c r="H69" s="11" t="s">
        <v>225</v>
      </c>
      <c r="K69" s="256"/>
    </row>
    <row r="70" spans="1:11" ht="21" customHeight="1" x14ac:dyDescent="0.2">
      <c r="A70" s="55"/>
      <c r="C70" s="52"/>
      <c r="D70" s="52"/>
      <c r="E70" s="52"/>
      <c r="F70" s="52"/>
      <c r="H70" s="197"/>
    </row>
    <row r="71" spans="1:11" s="38" customFormat="1" ht="20.25" customHeight="1" x14ac:dyDescent="0.2">
      <c r="A71" s="1237" t="s">
        <v>611</v>
      </c>
      <c r="B71" s="1238"/>
      <c r="C71" s="102">
        <f>SUM(C72:C73)</f>
        <v>30600000</v>
      </c>
      <c r="D71" s="102">
        <f>SUM(D72:D73)</f>
        <v>33467548</v>
      </c>
      <c r="E71" s="102">
        <f>SUM(E72:E73)</f>
        <v>0</v>
      </c>
      <c r="F71" s="102">
        <f>SUM(F72:F73)</f>
        <v>0</v>
      </c>
      <c r="G71" s="783"/>
      <c r="H71" s="104"/>
    </row>
    <row r="72" spans="1:11" ht="19.5" customHeight="1" x14ac:dyDescent="0.2">
      <c r="A72" s="130" t="s">
        <v>191</v>
      </c>
      <c r="B72" s="74" t="s">
        <v>49</v>
      </c>
      <c r="C72" s="284">
        <v>25000000</v>
      </c>
      <c r="D72" s="284">
        <f>25000000-3175000+10000000</f>
        <v>31825000</v>
      </c>
      <c r="E72" s="284"/>
      <c r="F72" s="284"/>
      <c r="G72" s="272" t="s">
        <v>40</v>
      </c>
      <c r="H72" s="78" t="s">
        <v>225</v>
      </c>
    </row>
    <row r="73" spans="1:11" ht="19.5" customHeight="1" x14ac:dyDescent="0.2">
      <c r="A73" s="54" t="s">
        <v>192</v>
      </c>
      <c r="B73" s="73" t="s">
        <v>50</v>
      </c>
      <c r="C73" s="141">
        <v>5600000</v>
      </c>
      <c r="D73" s="141">
        <v>1642548</v>
      </c>
      <c r="E73" s="141"/>
      <c r="F73" s="141"/>
      <c r="G73" s="144" t="s">
        <v>38</v>
      </c>
      <c r="H73" s="11" t="s">
        <v>225</v>
      </c>
    </row>
    <row r="74" spans="1:11" s="3" customFormat="1" ht="24" customHeight="1" x14ac:dyDescent="0.25">
      <c r="A74" s="1235" t="s">
        <v>51</v>
      </c>
      <c r="B74" s="1236"/>
      <c r="C74" s="94">
        <f>+C71+C56+C51+C47+C27+C24+C6+C12+C21</f>
        <v>897149962</v>
      </c>
      <c r="D74" s="94">
        <f>+D71+D56+D51+D47+D27+D24+D6+D12+D21</f>
        <v>1872854738</v>
      </c>
      <c r="E74" s="94">
        <f>+E71+E56+E51+E47+E27+E24+E6+E12+E21</f>
        <v>20000000</v>
      </c>
      <c r="F74" s="94">
        <f>+F71+F56+F51+F47+F27+F24+F6+F12+F21</f>
        <v>20000000</v>
      </c>
      <c r="G74" s="95"/>
      <c r="H74" s="96"/>
    </row>
    <row r="75" spans="1:11" x14ac:dyDescent="0.2">
      <c r="A75" s="82"/>
      <c r="B75" s="97"/>
      <c r="C75" s="98">
        <f>+C74-C71</f>
        <v>866549962</v>
      </c>
      <c r="D75" s="98">
        <f>+D74-D76</f>
        <v>1872854738</v>
      </c>
      <c r="E75" s="98"/>
      <c r="F75" s="98"/>
      <c r="G75" s="97"/>
      <c r="H75" s="98">
        <v>710434485</v>
      </c>
      <c r="I75" s="47">
        <f>+C74-H75</f>
        <v>186715477</v>
      </c>
    </row>
    <row r="76" spans="1:11" ht="17.45" customHeight="1" x14ac:dyDescent="0.2">
      <c r="A76" s="523"/>
      <c r="B76" s="523"/>
      <c r="C76" s="523"/>
      <c r="D76" s="524"/>
      <c r="E76" s="523"/>
      <c r="F76" s="523"/>
      <c r="G76" s="523"/>
      <c r="H76" s="523"/>
    </row>
    <row r="77" spans="1:11" ht="13.15" customHeight="1" x14ac:dyDescent="0.2">
      <c r="A77" s="523"/>
      <c r="B77" s="523"/>
      <c r="C77" s="523"/>
      <c r="D77" s="523"/>
      <c r="E77" s="523"/>
      <c r="F77" s="523"/>
      <c r="G77" s="523"/>
      <c r="H77" s="523"/>
    </row>
    <row r="78" spans="1:11" ht="13.15" customHeight="1" x14ac:dyDescent="0.2">
      <c r="A78" s="523"/>
      <c r="B78" s="523"/>
      <c r="C78" s="523"/>
      <c r="D78" s="523"/>
      <c r="E78" s="523"/>
      <c r="F78" s="523"/>
      <c r="G78" s="523"/>
      <c r="H78" s="523"/>
    </row>
    <row r="79" spans="1:11" ht="13.15" customHeight="1" x14ac:dyDescent="0.2">
      <c r="A79" s="523"/>
      <c r="B79" s="523"/>
      <c r="C79" s="523"/>
      <c r="D79" s="523"/>
      <c r="E79" s="523"/>
      <c r="F79" s="523"/>
      <c r="G79" s="523"/>
      <c r="H79" s="523"/>
    </row>
  </sheetData>
  <mergeCells count="16">
    <mergeCell ref="A1:H1"/>
    <mergeCell ref="A6:B6"/>
    <mergeCell ref="A24:B24"/>
    <mergeCell ref="A27:B27"/>
    <mergeCell ref="A5:H5"/>
    <mergeCell ref="A23:H23"/>
    <mergeCell ref="B3:B4"/>
    <mergeCell ref="A3:A4"/>
    <mergeCell ref="G3:G4"/>
    <mergeCell ref="H3:H4"/>
    <mergeCell ref="A47:B47"/>
    <mergeCell ref="G51:H51"/>
    <mergeCell ref="A74:B74"/>
    <mergeCell ref="A51:B51"/>
    <mergeCell ref="A56:B56"/>
    <mergeCell ref="A71:B71"/>
  </mergeCells>
  <phoneticPr fontId="44" type="noConversion"/>
  <printOptions horizontalCentered="1"/>
  <pageMargins left="0.51181102362204722" right="0.51181102362204722" top="0.74803149606299213" bottom="0.35433070866141736" header="0.51181102362204722" footer="0.31496062992125984"/>
  <pageSetup paperSize="9" scale="50" orientation="portrait" r:id="rId1"/>
  <headerFooter>
    <oddHeader>&amp;C2022. évi zárszámadás&amp;R&amp;A</oddHeader>
    <oddFooter>&amp;C
&amp;P/&amp;N</oddFooter>
  </headerFooter>
  <rowBreaks count="2" manualBreakCount="2">
    <brk id="54" max="7" man="1"/>
    <brk id="74"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sheetPr>
  <dimension ref="A1:G22"/>
  <sheetViews>
    <sheetView topLeftCell="A2" zoomScaleNormal="100" zoomScaleSheetLayoutView="100" workbookViewId="0">
      <selection activeCell="A21" sqref="A21:G21"/>
    </sheetView>
  </sheetViews>
  <sheetFormatPr defaultColWidth="10.42578125" defaultRowHeight="12.75" x14ac:dyDescent="0.2"/>
  <cols>
    <col min="1" max="1" width="4.42578125" style="8" customWidth="1"/>
    <col min="2" max="2" width="4.5703125" style="8" customWidth="1"/>
    <col min="3" max="3" width="10.42578125" style="8" customWidth="1"/>
    <col min="4" max="4" width="65.42578125" style="8" customWidth="1"/>
    <col min="5" max="5" width="19.42578125" style="8" customWidth="1"/>
    <col min="6" max="7" width="19.7109375" style="8" customWidth="1"/>
    <col min="8" max="16384" width="10.42578125" style="8"/>
  </cols>
  <sheetData>
    <row r="1" spans="1:7" ht="27" customHeight="1" x14ac:dyDescent="0.2">
      <c r="A1" s="1244" t="s">
        <v>332</v>
      </c>
      <c r="B1" s="1244"/>
      <c r="C1" s="1244"/>
      <c r="D1" s="1244"/>
      <c r="E1" s="1244"/>
      <c r="F1" s="1244"/>
      <c r="G1" s="1244"/>
    </row>
    <row r="2" spans="1:7" ht="15.75" customHeight="1" x14ac:dyDescent="0.25">
      <c r="A2" s="1249"/>
      <c r="B2" s="1249"/>
      <c r="C2" s="1249"/>
      <c r="D2" s="1249"/>
      <c r="E2" s="1249"/>
      <c r="G2" s="520" t="s">
        <v>415</v>
      </c>
    </row>
    <row r="3" spans="1:7" ht="32.25" customHeight="1" x14ac:dyDescent="0.2">
      <c r="A3" s="1251" t="s">
        <v>53</v>
      </c>
      <c r="B3" s="1251" t="s">
        <v>647</v>
      </c>
      <c r="C3" s="1254" t="s">
        <v>82</v>
      </c>
      <c r="D3" s="1252" t="s">
        <v>2</v>
      </c>
      <c r="E3" s="384" t="s">
        <v>274</v>
      </c>
      <c r="F3" s="521" t="s">
        <v>1074</v>
      </c>
      <c r="G3" s="522" t="s">
        <v>1546</v>
      </c>
    </row>
    <row r="4" spans="1:7" ht="23.25" customHeight="1" x14ac:dyDescent="0.2">
      <c r="A4" s="1251"/>
      <c r="B4" s="1251"/>
      <c r="C4" s="1254"/>
      <c r="D4" s="1253"/>
      <c r="E4" s="1194" t="s">
        <v>1730</v>
      </c>
      <c r="F4" s="1197"/>
      <c r="G4" s="1202"/>
    </row>
    <row r="5" spans="1:7" ht="31.5" customHeight="1" x14ac:dyDescent="0.2">
      <c r="A5" s="1251"/>
      <c r="B5" s="1251"/>
      <c r="C5" s="1254"/>
      <c r="D5" s="307" t="s">
        <v>113</v>
      </c>
      <c r="E5" s="1195"/>
      <c r="F5" s="1198"/>
      <c r="G5" s="1245"/>
    </row>
    <row r="6" spans="1:7" ht="29.25" customHeight="1" x14ac:dyDescent="0.2">
      <c r="A6" s="1251"/>
      <c r="B6" s="1251"/>
      <c r="C6" s="1254"/>
      <c r="D6" s="307" t="s">
        <v>114</v>
      </c>
      <c r="E6" s="1196"/>
      <c r="F6" s="1199"/>
      <c r="G6" s="1203"/>
    </row>
    <row r="7" spans="1:7" s="9" customFormat="1" ht="27.75" customHeight="1" x14ac:dyDescent="0.2">
      <c r="A7" s="1250" t="s">
        <v>120</v>
      </c>
      <c r="B7" s="1149"/>
      <c r="C7" s="1149"/>
      <c r="D7" s="1149"/>
      <c r="E7" s="278">
        <f>SUM(E8:E20)</f>
        <v>44000000</v>
      </c>
      <c r="F7" s="278">
        <f>SUM(F8:F20)</f>
        <v>47819430</v>
      </c>
      <c r="G7" s="311">
        <f>SUM(G8:G20)</f>
        <v>31814129</v>
      </c>
    </row>
    <row r="8" spans="1:7" ht="19.5" customHeight="1" x14ac:dyDescent="0.2">
      <c r="A8" s="53" t="s">
        <v>191</v>
      </c>
      <c r="B8" s="147">
        <v>202</v>
      </c>
      <c r="C8" s="272" t="s">
        <v>900</v>
      </c>
      <c r="D8" s="283" t="s">
        <v>493</v>
      </c>
      <c r="E8" s="542">
        <v>18000000</v>
      </c>
      <c r="F8" s="654">
        <v>16819430</v>
      </c>
      <c r="G8" s="587">
        <v>12780226</v>
      </c>
    </row>
    <row r="9" spans="1:7" ht="24" customHeight="1" x14ac:dyDescent="0.2">
      <c r="A9" s="54" t="s">
        <v>192</v>
      </c>
      <c r="B9" s="132">
        <v>202</v>
      </c>
      <c r="C9" s="114" t="s">
        <v>900</v>
      </c>
      <c r="D9" s="613" t="s">
        <v>975</v>
      </c>
      <c r="E9" s="543">
        <v>5000000</v>
      </c>
      <c r="F9" s="655">
        <f>5000000-5000000</f>
        <v>0</v>
      </c>
      <c r="G9" s="588"/>
    </row>
    <row r="10" spans="1:7" ht="22.5" customHeight="1" x14ac:dyDescent="0.2">
      <c r="A10" s="54" t="s">
        <v>193</v>
      </c>
      <c r="B10" s="132">
        <v>207</v>
      </c>
      <c r="C10" s="114" t="s">
        <v>900</v>
      </c>
      <c r="D10" s="613" t="s">
        <v>116</v>
      </c>
      <c r="E10" s="543">
        <v>4000000</v>
      </c>
      <c r="F10" s="655">
        <v>4000000</v>
      </c>
      <c r="G10" s="588">
        <v>3675056</v>
      </c>
    </row>
    <row r="11" spans="1:7" ht="24" customHeight="1" x14ac:dyDescent="0.2">
      <c r="A11" s="54" t="s">
        <v>194</v>
      </c>
      <c r="B11" s="132">
        <v>208</v>
      </c>
      <c r="C11" s="114" t="s">
        <v>900</v>
      </c>
      <c r="D11" s="613" t="s">
        <v>356</v>
      </c>
      <c r="E11" s="543">
        <v>500000</v>
      </c>
      <c r="F11" s="655">
        <v>500000</v>
      </c>
      <c r="G11" s="588">
        <v>33651</v>
      </c>
    </row>
    <row r="12" spans="1:7" ht="24" customHeight="1" x14ac:dyDescent="0.2">
      <c r="A12" s="54" t="s">
        <v>195</v>
      </c>
      <c r="B12" s="132">
        <v>203</v>
      </c>
      <c r="C12" s="114" t="s">
        <v>900</v>
      </c>
      <c r="D12" s="613" t="s">
        <v>117</v>
      </c>
      <c r="E12" s="543">
        <v>1500000</v>
      </c>
      <c r="F12" s="655">
        <v>1500000</v>
      </c>
      <c r="G12" s="588">
        <v>0</v>
      </c>
    </row>
    <row r="13" spans="1:7" ht="24" customHeight="1" x14ac:dyDescent="0.2">
      <c r="A13" s="54" t="s">
        <v>196</v>
      </c>
      <c r="B13" s="132">
        <v>204</v>
      </c>
      <c r="C13" s="114" t="s">
        <v>900</v>
      </c>
      <c r="D13" s="613" t="s">
        <v>494</v>
      </c>
      <c r="E13" s="543">
        <v>2300000</v>
      </c>
      <c r="F13" s="655">
        <v>2300000</v>
      </c>
      <c r="G13" s="588">
        <v>915970</v>
      </c>
    </row>
    <row r="14" spans="1:7" ht="31.5" customHeight="1" x14ac:dyDescent="0.2">
      <c r="A14" s="54" t="s">
        <v>197</v>
      </c>
      <c r="B14" s="132">
        <v>205</v>
      </c>
      <c r="C14" s="114" t="s">
        <v>900</v>
      </c>
      <c r="D14" s="613" t="s">
        <v>572</v>
      </c>
      <c r="E14" s="543">
        <v>2000000</v>
      </c>
      <c r="F14" s="655">
        <v>2000000</v>
      </c>
      <c r="G14" s="588">
        <v>326340</v>
      </c>
    </row>
    <row r="15" spans="1:7" ht="24.75" customHeight="1" x14ac:dyDescent="0.2">
      <c r="A15" s="54" t="s">
        <v>198</v>
      </c>
      <c r="B15" s="132">
        <v>206</v>
      </c>
      <c r="C15" s="114" t="s">
        <v>900</v>
      </c>
      <c r="D15" s="613" t="s">
        <v>119</v>
      </c>
      <c r="E15" s="543">
        <v>3000000</v>
      </c>
      <c r="F15" s="655">
        <v>3000000</v>
      </c>
      <c r="G15" s="588">
        <v>1702500</v>
      </c>
    </row>
    <row r="16" spans="1:7" ht="24.75" customHeight="1" x14ac:dyDescent="0.2">
      <c r="A16" s="54" t="s">
        <v>199</v>
      </c>
      <c r="B16" s="114">
        <v>211</v>
      </c>
      <c r="C16" s="114" t="s">
        <v>900</v>
      </c>
      <c r="D16" s="613" t="s">
        <v>118</v>
      </c>
      <c r="E16" s="543">
        <v>500000</v>
      </c>
      <c r="F16" s="655">
        <v>500000</v>
      </c>
      <c r="G16" s="588">
        <v>70000</v>
      </c>
    </row>
    <row r="17" spans="1:7" ht="30" customHeight="1" x14ac:dyDescent="0.2">
      <c r="A17" s="54" t="s">
        <v>200</v>
      </c>
      <c r="B17" s="114">
        <v>212</v>
      </c>
      <c r="C17" s="114" t="s">
        <v>900</v>
      </c>
      <c r="D17" s="613" t="s">
        <v>379</v>
      </c>
      <c r="E17" s="543">
        <v>200000</v>
      </c>
      <c r="F17" s="655">
        <v>200000</v>
      </c>
      <c r="G17" s="588">
        <v>0</v>
      </c>
    </row>
    <row r="18" spans="1:7" ht="30" customHeight="1" x14ac:dyDescent="0.2">
      <c r="A18" s="54" t="s">
        <v>201</v>
      </c>
      <c r="B18" s="132">
        <v>215</v>
      </c>
      <c r="C18" s="145" t="s">
        <v>900</v>
      </c>
      <c r="D18" s="613" t="s">
        <v>383</v>
      </c>
      <c r="E18" s="543">
        <v>7000000</v>
      </c>
      <c r="F18" s="655">
        <v>7000000</v>
      </c>
      <c r="G18" s="588">
        <v>5269145</v>
      </c>
    </row>
    <row r="19" spans="1:7" ht="30" customHeight="1" x14ac:dyDescent="0.2">
      <c r="A19" s="54" t="s">
        <v>228</v>
      </c>
      <c r="B19" s="132">
        <v>213</v>
      </c>
      <c r="C19" s="145" t="s">
        <v>900</v>
      </c>
      <c r="D19" s="613" t="s">
        <v>1196</v>
      </c>
      <c r="E19" s="543">
        <v>0</v>
      </c>
      <c r="F19" s="655">
        <v>1000000</v>
      </c>
      <c r="G19" s="588">
        <v>0</v>
      </c>
    </row>
    <row r="20" spans="1:7" ht="30" customHeight="1" x14ac:dyDescent="0.2">
      <c r="A20" s="138" t="s">
        <v>229</v>
      </c>
      <c r="B20" s="324">
        <v>217</v>
      </c>
      <c r="C20" s="409" t="s">
        <v>900</v>
      </c>
      <c r="D20" s="142" t="s">
        <v>1317</v>
      </c>
      <c r="E20" s="282">
        <v>0</v>
      </c>
      <c r="F20" s="656">
        <v>9000000</v>
      </c>
      <c r="G20" s="619">
        <v>7041241</v>
      </c>
    </row>
    <row r="21" spans="1:7" x14ac:dyDescent="0.2">
      <c r="A21" s="1246"/>
      <c r="B21" s="1247"/>
      <c r="C21" s="1247"/>
      <c r="D21" s="1247"/>
      <c r="E21" s="1247"/>
      <c r="F21" s="1247"/>
      <c r="G21" s="1248"/>
    </row>
    <row r="22" spans="1:7" ht="23.25" customHeight="1" x14ac:dyDescent="0.2">
      <c r="A22" s="1119" t="s">
        <v>518</v>
      </c>
      <c r="B22" s="1120"/>
      <c r="C22" s="1120"/>
      <c r="D22" s="1120"/>
      <c r="E22" s="410">
        <f>E7</f>
        <v>44000000</v>
      </c>
      <c r="F22" s="410">
        <f>F7</f>
        <v>47819430</v>
      </c>
      <c r="G22" s="586">
        <f>G7</f>
        <v>31814129</v>
      </c>
    </row>
  </sheetData>
  <mergeCells count="10">
    <mergeCell ref="A1:G1"/>
    <mergeCell ref="E4:G6"/>
    <mergeCell ref="A21:G21"/>
    <mergeCell ref="A2:E2"/>
    <mergeCell ref="A22:D22"/>
    <mergeCell ref="A7:D7"/>
    <mergeCell ref="B3:B6"/>
    <mergeCell ref="A3:A6"/>
    <mergeCell ref="D3:D4"/>
    <mergeCell ref="C3:C6"/>
  </mergeCells>
  <phoneticPr fontId="44" type="noConversion"/>
  <printOptions horizontalCentered="1"/>
  <pageMargins left="0.70866141732283472" right="0.70866141732283472" top="0.74803149606299213" bottom="0.74803149606299213" header="0.31496062992125984" footer="0.31496062992125984"/>
  <pageSetup paperSize="9" scale="60" orientation="portrait" r:id="rId1"/>
  <headerFooter>
    <oddHeader>&amp;C2022. évi zárszámadás&amp;R&amp;A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EG62"/>
  <sheetViews>
    <sheetView zoomScale="66" zoomScaleNormal="66" zoomScaleSheetLayoutView="80" workbookViewId="0">
      <pane xSplit="3" ySplit="7" topLeftCell="DQ36" activePane="bottomRight" state="frozen"/>
      <selection activeCell="Y17" sqref="Y17"/>
      <selection pane="topRight" activeCell="Y17" sqref="Y17"/>
      <selection pane="bottomLeft" activeCell="Y17" sqref="Y17"/>
      <selection pane="bottomRight" activeCell="DW40" sqref="DW40"/>
    </sheetView>
  </sheetViews>
  <sheetFormatPr defaultColWidth="16.5703125" defaultRowHeight="15.75" x14ac:dyDescent="0.25"/>
  <cols>
    <col min="1" max="1" width="7" style="228" customWidth="1"/>
    <col min="2" max="2" width="69.5703125" style="204" customWidth="1"/>
    <col min="3" max="3" width="7.42578125" style="225" customWidth="1"/>
    <col min="4" max="4" width="16.85546875" style="204" customWidth="1"/>
    <col min="5" max="5" width="20.28515625" style="204" customWidth="1"/>
    <col min="6" max="6" width="19.28515625" style="204" customWidth="1"/>
    <col min="7" max="7" width="15.85546875" style="204" customWidth="1"/>
    <col min="8" max="8" width="17.85546875" style="204" customWidth="1"/>
    <col min="9" max="9" width="16.5703125" style="204" customWidth="1"/>
    <col min="10" max="10" width="17.140625" style="202" customWidth="1"/>
    <col min="11" max="11" width="19.42578125" style="202" customWidth="1"/>
    <col min="12" max="12" width="18" style="202" customWidth="1"/>
    <col min="13" max="13" width="17.42578125" style="202" customWidth="1"/>
    <col min="14" max="14" width="19.42578125" style="202" customWidth="1"/>
    <col min="15" max="15" width="17.5703125" style="202" customWidth="1"/>
    <col min="16" max="16" width="16.85546875" style="202" customWidth="1"/>
    <col min="17" max="17" width="18.42578125" style="202" customWidth="1"/>
    <col min="18" max="18" width="16.140625" style="202" customWidth="1"/>
    <col min="19" max="19" width="16.85546875" style="202" customWidth="1"/>
    <col min="20" max="20" width="18.42578125" style="202" customWidth="1"/>
    <col min="21" max="21" width="16.28515625" style="202" customWidth="1"/>
    <col min="22" max="22" width="16.85546875" style="202" customWidth="1"/>
    <col min="23" max="23" width="18.42578125" style="202" customWidth="1"/>
    <col min="24" max="24" width="17" style="202" customWidth="1"/>
    <col min="25" max="25" width="18" style="202" customWidth="1"/>
    <col min="26" max="26" width="19.85546875" style="202" customWidth="1"/>
    <col min="27" max="27" width="18" style="202" customWidth="1"/>
    <col min="28" max="28" width="16.5703125" style="202" customWidth="1"/>
    <col min="29" max="29" width="19.5703125" style="202" customWidth="1"/>
    <col min="30" max="30" width="17" style="202" customWidth="1"/>
    <col min="31" max="31" width="16.28515625" style="202" customWidth="1"/>
    <col min="32" max="32" width="19.5703125" style="202" customWidth="1"/>
    <col min="33" max="33" width="18.140625" style="202" customWidth="1"/>
    <col min="34" max="34" width="17.28515625" style="202" customWidth="1"/>
    <col min="35" max="35" width="19.5703125" style="202" customWidth="1"/>
    <col min="36" max="36" width="18" style="202" customWidth="1"/>
    <col min="37" max="37" width="16.85546875" style="202" customWidth="1"/>
    <col min="38" max="38" width="20.5703125" style="202" customWidth="1"/>
    <col min="39" max="39" width="19.140625" style="202" customWidth="1"/>
    <col min="40" max="40" width="18.28515625" style="202" customWidth="1"/>
    <col min="41" max="41" width="19.42578125" style="202" customWidth="1"/>
    <col min="42" max="42" width="17.7109375" style="202" customWidth="1"/>
    <col min="43" max="43" width="16.42578125" style="204" customWidth="1"/>
    <col min="44" max="45" width="19.5703125" style="204" customWidth="1"/>
    <col min="46" max="46" width="16.7109375" style="204" customWidth="1"/>
    <col min="47" max="47" width="19" style="204" customWidth="1"/>
    <col min="48" max="48" width="16" style="204" customWidth="1"/>
    <col min="49" max="49" width="16.5703125" style="204" customWidth="1"/>
    <col min="50" max="50" width="20.7109375" style="204" customWidth="1"/>
    <col min="51" max="51" width="19.85546875" style="204" customWidth="1"/>
    <col min="52" max="52" width="16.5703125" style="204" customWidth="1"/>
    <col min="53" max="53" width="20.5703125" style="204" customWidth="1"/>
    <col min="54" max="54" width="18.28515625" style="204" customWidth="1"/>
    <col min="55" max="55" width="20" style="204" bestFit="1" customWidth="1"/>
    <col min="56" max="56" width="18.7109375" style="204" customWidth="1"/>
    <col min="57" max="57" width="17.140625" style="204" customWidth="1"/>
    <col min="58" max="60" width="16" style="204" customWidth="1"/>
    <col min="61" max="63" width="17.140625" style="204" customWidth="1"/>
    <col min="64" max="64" width="16.7109375" style="204" customWidth="1"/>
    <col min="65" max="65" width="18.28515625" style="204" customWidth="1"/>
    <col min="66" max="66" width="16.140625" style="204" customWidth="1"/>
    <col min="67" max="67" width="15.42578125" style="204" customWidth="1"/>
    <col min="68" max="68" width="17.5703125" style="204" customWidth="1"/>
    <col min="69" max="69" width="16.7109375" style="204" bestFit="1" customWidth="1"/>
    <col min="70" max="70" width="14.85546875" style="204" customWidth="1"/>
    <col min="71" max="71" width="18.28515625" style="204" customWidth="1"/>
    <col min="72" max="72" width="16" style="204" customWidth="1"/>
    <col min="73" max="73" width="16.85546875" style="204" customWidth="1"/>
    <col min="74" max="74" width="18.85546875" style="204" customWidth="1"/>
    <col min="75" max="75" width="16.7109375" style="204" customWidth="1"/>
    <col min="76" max="76" width="16.28515625" style="204" customWidth="1"/>
    <col min="77" max="77" width="19.140625" style="204" customWidth="1"/>
    <col min="78" max="78" width="19.42578125" style="204" customWidth="1"/>
    <col min="79" max="79" width="15.85546875" style="204" customWidth="1"/>
    <col min="80" max="80" width="18.7109375" style="204" customWidth="1"/>
    <col min="81" max="81" width="16.7109375" style="204" customWidth="1"/>
    <col min="82" max="82" width="17.7109375" style="204" customWidth="1"/>
    <col min="83" max="83" width="21.140625" style="204" customWidth="1"/>
    <col min="84" max="84" width="18.85546875" style="204" customWidth="1"/>
    <col min="85" max="85" width="16.42578125" style="204" customWidth="1"/>
    <col min="86" max="86" width="19.28515625" style="204" customWidth="1"/>
    <col min="87" max="87" width="16.7109375" style="204" customWidth="1"/>
    <col min="88" max="88" width="16.5703125" style="204" customWidth="1"/>
    <col min="89" max="89" width="18" style="204" customWidth="1"/>
    <col min="90" max="90" width="16" style="204" customWidth="1"/>
    <col min="91" max="91" width="16.5703125" style="237" customWidth="1"/>
    <col min="92" max="92" width="20.140625" style="237" customWidth="1"/>
    <col min="93" max="93" width="18.140625" style="237" customWidth="1"/>
    <col min="94" max="94" width="14.85546875" style="237" customWidth="1"/>
    <col min="95" max="95" width="19" style="237" customWidth="1"/>
    <col min="96" max="96" width="16.7109375" style="237" customWidth="1"/>
    <col min="97" max="97" width="17.28515625" style="237" customWidth="1"/>
    <col min="98" max="98" width="19.85546875" style="237" customWidth="1"/>
    <col min="99" max="102" width="17.7109375" style="237" customWidth="1"/>
    <col min="103" max="103" width="16.42578125" style="202" customWidth="1"/>
    <col min="104" max="104" width="20.85546875" style="202" customWidth="1"/>
    <col min="105" max="105" width="19.85546875" style="202" customWidth="1"/>
    <col min="106" max="106" width="18.85546875" style="204" bestFit="1" customWidth="1"/>
    <col min="107" max="107" width="18.42578125" style="204" customWidth="1"/>
    <col min="108" max="108" width="18.42578125" style="204" bestFit="1" customWidth="1"/>
    <col min="109" max="109" width="18.85546875" style="245" bestFit="1" customWidth="1"/>
    <col min="110" max="110" width="18.85546875" style="245" customWidth="1"/>
    <col min="111" max="111" width="18.42578125" style="245" bestFit="1" customWidth="1"/>
    <col min="112" max="112" width="16.7109375" style="204" customWidth="1"/>
    <col min="113" max="114" width="21.42578125" style="204" customWidth="1"/>
    <col min="115" max="115" width="20.5703125" style="204" customWidth="1"/>
    <col min="116" max="116" width="19.140625" style="204" customWidth="1"/>
    <col min="117" max="117" width="20.140625" style="204" customWidth="1"/>
    <col min="118" max="118" width="18.5703125" style="204" customWidth="1"/>
    <col min="119" max="120" width="20.140625" style="204" customWidth="1"/>
    <col min="121" max="121" width="17" style="204" customWidth="1"/>
    <col min="122" max="122" width="18.28515625" style="204" customWidth="1"/>
    <col min="123" max="123" width="13.85546875" style="204" customWidth="1"/>
    <col min="124" max="124" width="19.85546875" style="204" bestFit="1" customWidth="1"/>
    <col min="125" max="125" width="19.42578125" style="204" customWidth="1"/>
    <col min="126" max="126" width="20.28515625" style="204" bestFit="1" customWidth="1"/>
    <col min="127" max="127" width="15" style="204" customWidth="1"/>
    <col min="128" max="128" width="17.28515625" style="204" customWidth="1"/>
    <col min="129" max="129" width="15.5703125" style="204" customWidth="1"/>
    <col min="130" max="133" width="20.7109375" style="204" customWidth="1"/>
    <col min="134" max="134" width="18.42578125" style="204" bestFit="1" customWidth="1"/>
    <col min="135" max="135" width="11.85546875" style="204" bestFit="1" customWidth="1"/>
    <col min="136" max="136" width="17.85546875" style="204" bestFit="1" customWidth="1"/>
    <col min="137" max="16384" width="16.5703125" style="204"/>
  </cols>
  <sheetData>
    <row r="1" spans="1:136" ht="22.5" customHeight="1" x14ac:dyDescent="0.25">
      <c r="A1" s="202"/>
      <c r="B1" s="202"/>
      <c r="C1" s="203"/>
      <c r="E1" s="238"/>
      <c r="F1" s="238"/>
      <c r="G1" s="247"/>
      <c r="I1" s="238" t="s">
        <v>415</v>
      </c>
      <c r="J1" s="204"/>
      <c r="K1" s="238"/>
      <c r="L1" s="238"/>
      <c r="M1" s="247"/>
      <c r="N1" s="204"/>
      <c r="O1" s="238" t="s">
        <v>415</v>
      </c>
      <c r="P1" s="204"/>
      <c r="Q1" s="238"/>
      <c r="R1" s="238"/>
      <c r="S1" s="247"/>
      <c r="T1" s="204"/>
      <c r="U1" s="238" t="s">
        <v>415</v>
      </c>
      <c r="V1" s="204"/>
      <c r="W1" s="238"/>
      <c r="X1" s="238"/>
      <c r="Y1" s="247"/>
      <c r="Z1" s="204"/>
      <c r="AA1" s="238" t="s">
        <v>415</v>
      </c>
      <c r="AB1" s="204"/>
      <c r="AC1" s="238"/>
      <c r="AD1" s="238"/>
      <c r="AE1" s="247"/>
      <c r="AF1" s="204"/>
      <c r="AG1" s="238" t="s">
        <v>415</v>
      </c>
      <c r="AH1" s="204"/>
      <c r="AI1" s="238"/>
      <c r="AJ1" s="238"/>
      <c r="AK1" s="247"/>
      <c r="AL1" s="204"/>
      <c r="AM1" s="238" t="s">
        <v>415</v>
      </c>
      <c r="AN1" s="204"/>
      <c r="AO1" s="238"/>
      <c r="AP1" s="238"/>
      <c r="AQ1" s="247"/>
      <c r="AS1" s="238" t="s">
        <v>415</v>
      </c>
      <c r="AU1" s="238"/>
      <c r="AV1" s="238"/>
      <c r="AW1" s="247"/>
      <c r="AY1" s="238" t="s">
        <v>415</v>
      </c>
      <c r="BA1" s="238"/>
      <c r="BB1" s="238"/>
      <c r="BC1" s="247"/>
      <c r="BE1" s="238" t="s">
        <v>415</v>
      </c>
      <c r="BG1" s="238"/>
      <c r="BH1" s="238"/>
      <c r="BI1" s="247"/>
      <c r="BK1" s="238" t="s">
        <v>415</v>
      </c>
      <c r="BM1" s="238"/>
      <c r="BN1" s="238"/>
      <c r="BO1" s="247"/>
      <c r="BQ1" s="238" t="s">
        <v>415</v>
      </c>
      <c r="BS1" s="238"/>
      <c r="BT1" s="238"/>
      <c r="BU1" s="247"/>
      <c r="BW1" s="238" t="s">
        <v>415</v>
      </c>
      <c r="BY1" s="238"/>
      <c r="BZ1" s="238"/>
      <c r="CA1" s="247"/>
      <c r="CC1" s="238" t="s">
        <v>415</v>
      </c>
      <c r="CE1" s="238"/>
      <c r="CF1" s="238"/>
      <c r="CG1" s="247"/>
      <c r="CI1" s="238" t="s">
        <v>415</v>
      </c>
      <c r="CK1" s="238"/>
      <c r="CL1" s="238"/>
      <c r="CM1" s="247"/>
      <c r="CN1" s="204"/>
      <c r="CO1" s="238" t="s">
        <v>415</v>
      </c>
      <c r="CP1" s="204"/>
      <c r="CQ1" s="238"/>
      <c r="CR1" s="238"/>
      <c r="CS1" s="247"/>
      <c r="CT1" s="204"/>
      <c r="CU1" s="238" t="s">
        <v>415</v>
      </c>
      <c r="CV1" s="204"/>
      <c r="CW1" s="238"/>
      <c r="CX1" s="238"/>
      <c r="CY1" s="247"/>
      <c r="CZ1" s="204"/>
      <c r="DA1" s="238" t="s">
        <v>415</v>
      </c>
      <c r="DC1" s="238"/>
      <c r="DD1" s="238"/>
      <c r="DE1" s="247"/>
      <c r="DF1" s="204"/>
      <c r="DG1" s="238" t="s">
        <v>415</v>
      </c>
      <c r="DH1" s="247"/>
      <c r="DJ1" s="238" t="s">
        <v>415</v>
      </c>
      <c r="DL1" s="238"/>
      <c r="DM1" s="238"/>
      <c r="DN1" s="247"/>
      <c r="DP1" s="238" t="s">
        <v>415</v>
      </c>
      <c r="DR1" s="238"/>
      <c r="DS1" s="238"/>
      <c r="DT1" s="247"/>
      <c r="DV1" s="238" t="s">
        <v>415</v>
      </c>
      <c r="DX1" s="238"/>
      <c r="DY1" s="238" t="s">
        <v>415</v>
      </c>
      <c r="DZ1" s="238"/>
      <c r="EA1" s="238"/>
      <c r="EB1" s="238"/>
      <c r="EC1" s="238"/>
    </row>
    <row r="2" spans="1:136" ht="36" customHeight="1" x14ac:dyDescent="0.25">
      <c r="A2" s="992" t="s">
        <v>255</v>
      </c>
      <c r="B2" s="992"/>
      <c r="C2" s="992"/>
      <c r="D2" s="683" t="s">
        <v>274</v>
      </c>
      <c r="E2" s="683" t="s">
        <v>1074</v>
      </c>
      <c r="F2" s="683" t="s">
        <v>1546</v>
      </c>
      <c r="G2" s="683" t="s">
        <v>274</v>
      </c>
      <c r="H2" s="683" t="s">
        <v>1074</v>
      </c>
      <c r="I2" s="683" t="s">
        <v>1546</v>
      </c>
      <c r="J2" s="683" t="s">
        <v>274</v>
      </c>
      <c r="K2" s="683" t="s">
        <v>1074</v>
      </c>
      <c r="L2" s="683" t="s">
        <v>1546</v>
      </c>
      <c r="M2" s="683" t="s">
        <v>274</v>
      </c>
      <c r="N2" s="683" t="s">
        <v>1074</v>
      </c>
      <c r="O2" s="683" t="s">
        <v>1546</v>
      </c>
      <c r="P2" s="683" t="s">
        <v>274</v>
      </c>
      <c r="Q2" s="683" t="s">
        <v>1074</v>
      </c>
      <c r="R2" s="683" t="s">
        <v>1546</v>
      </c>
      <c r="S2" s="683" t="s">
        <v>274</v>
      </c>
      <c r="T2" s="683" t="s">
        <v>1074</v>
      </c>
      <c r="U2" s="683" t="s">
        <v>1546</v>
      </c>
      <c r="V2" s="683" t="s">
        <v>274</v>
      </c>
      <c r="W2" s="683" t="s">
        <v>1074</v>
      </c>
      <c r="X2" s="683" t="s">
        <v>1546</v>
      </c>
      <c r="Y2" s="683" t="s">
        <v>274</v>
      </c>
      <c r="Z2" s="683" t="s">
        <v>1074</v>
      </c>
      <c r="AA2" s="683" t="s">
        <v>1546</v>
      </c>
      <c r="AB2" s="683" t="s">
        <v>274</v>
      </c>
      <c r="AC2" s="683" t="s">
        <v>1074</v>
      </c>
      <c r="AD2" s="683" t="s">
        <v>1546</v>
      </c>
      <c r="AE2" s="683" t="s">
        <v>274</v>
      </c>
      <c r="AF2" s="683" t="s">
        <v>1074</v>
      </c>
      <c r="AG2" s="683" t="s">
        <v>1546</v>
      </c>
      <c r="AH2" s="683" t="s">
        <v>274</v>
      </c>
      <c r="AI2" s="683" t="s">
        <v>1074</v>
      </c>
      <c r="AJ2" s="683" t="s">
        <v>1546</v>
      </c>
      <c r="AK2" s="683" t="s">
        <v>274</v>
      </c>
      <c r="AL2" s="683" t="s">
        <v>1074</v>
      </c>
      <c r="AM2" s="683" t="s">
        <v>1546</v>
      </c>
      <c r="AN2" s="683" t="s">
        <v>274</v>
      </c>
      <c r="AO2" s="683" t="s">
        <v>1074</v>
      </c>
      <c r="AP2" s="683" t="s">
        <v>1546</v>
      </c>
      <c r="AQ2" s="683" t="s">
        <v>274</v>
      </c>
      <c r="AR2" s="683" t="s">
        <v>1074</v>
      </c>
      <c r="AS2" s="683" t="s">
        <v>1546</v>
      </c>
      <c r="AT2" s="683" t="s">
        <v>274</v>
      </c>
      <c r="AU2" s="683" t="s">
        <v>1074</v>
      </c>
      <c r="AV2" s="683" t="s">
        <v>1546</v>
      </c>
      <c r="AW2" s="683" t="s">
        <v>274</v>
      </c>
      <c r="AX2" s="683" t="s">
        <v>1074</v>
      </c>
      <c r="AY2" s="683" t="s">
        <v>1546</v>
      </c>
      <c r="AZ2" s="683" t="s">
        <v>274</v>
      </c>
      <c r="BA2" s="683" t="s">
        <v>1074</v>
      </c>
      <c r="BB2" s="683" t="s">
        <v>1546</v>
      </c>
      <c r="BC2" s="683" t="s">
        <v>274</v>
      </c>
      <c r="BD2" s="683" t="s">
        <v>1074</v>
      </c>
      <c r="BE2" s="683" t="s">
        <v>1546</v>
      </c>
      <c r="BF2" s="645" t="s">
        <v>274</v>
      </c>
      <c r="BG2" s="645" t="s">
        <v>1074</v>
      </c>
      <c r="BH2" s="645" t="s">
        <v>1546</v>
      </c>
      <c r="BI2" s="645" t="s">
        <v>274</v>
      </c>
      <c r="BJ2" s="645" t="s">
        <v>1074</v>
      </c>
      <c r="BK2" s="645" t="s">
        <v>1546</v>
      </c>
      <c r="BL2" s="645" t="s">
        <v>274</v>
      </c>
      <c r="BM2" s="645" t="s">
        <v>1074</v>
      </c>
      <c r="BN2" s="645" t="s">
        <v>1546</v>
      </c>
      <c r="BO2" s="645" t="s">
        <v>274</v>
      </c>
      <c r="BP2" s="645" t="s">
        <v>1074</v>
      </c>
      <c r="BQ2" s="645" t="s">
        <v>1546</v>
      </c>
      <c r="BR2" s="645" t="s">
        <v>274</v>
      </c>
      <c r="BS2" s="645" t="s">
        <v>1074</v>
      </c>
      <c r="BT2" s="645" t="s">
        <v>1546</v>
      </c>
      <c r="BU2" s="683" t="s">
        <v>274</v>
      </c>
      <c r="BV2" s="683" t="s">
        <v>1074</v>
      </c>
      <c r="BW2" s="683" t="s">
        <v>1546</v>
      </c>
      <c r="BX2" s="683" t="s">
        <v>274</v>
      </c>
      <c r="BY2" s="683" t="s">
        <v>1074</v>
      </c>
      <c r="BZ2" s="683" t="s">
        <v>1546</v>
      </c>
      <c r="CA2" s="683" t="s">
        <v>274</v>
      </c>
      <c r="CB2" s="683" t="s">
        <v>1074</v>
      </c>
      <c r="CC2" s="683" t="s">
        <v>1546</v>
      </c>
      <c r="CD2" s="683" t="s">
        <v>274</v>
      </c>
      <c r="CE2" s="683" t="s">
        <v>1074</v>
      </c>
      <c r="CF2" s="683" t="s">
        <v>1546</v>
      </c>
      <c r="CG2" s="683" t="s">
        <v>274</v>
      </c>
      <c r="CH2" s="683" t="s">
        <v>1074</v>
      </c>
      <c r="CI2" s="683" t="s">
        <v>1546</v>
      </c>
      <c r="CJ2" s="683" t="s">
        <v>274</v>
      </c>
      <c r="CK2" s="683" t="s">
        <v>1074</v>
      </c>
      <c r="CL2" s="683" t="s">
        <v>1546</v>
      </c>
      <c r="CM2" s="683" t="s">
        <v>274</v>
      </c>
      <c r="CN2" s="683" t="s">
        <v>1074</v>
      </c>
      <c r="CO2" s="683" t="s">
        <v>1546</v>
      </c>
      <c r="CP2" s="683" t="s">
        <v>274</v>
      </c>
      <c r="CQ2" s="683" t="s">
        <v>1074</v>
      </c>
      <c r="CR2" s="683" t="s">
        <v>1546</v>
      </c>
      <c r="CS2" s="683" t="s">
        <v>274</v>
      </c>
      <c r="CT2" s="683" t="s">
        <v>1074</v>
      </c>
      <c r="CU2" s="683" t="s">
        <v>1546</v>
      </c>
      <c r="CV2" s="683" t="s">
        <v>274</v>
      </c>
      <c r="CW2" s="683" t="s">
        <v>1074</v>
      </c>
      <c r="CX2" s="683" t="s">
        <v>1546</v>
      </c>
      <c r="CY2" s="683" t="s">
        <v>274</v>
      </c>
      <c r="CZ2" s="683" t="s">
        <v>1074</v>
      </c>
      <c r="DA2" s="683" t="s">
        <v>1546</v>
      </c>
      <c r="DB2" s="683" t="s">
        <v>274</v>
      </c>
      <c r="DC2" s="683" t="s">
        <v>1074</v>
      </c>
      <c r="DD2" s="683" t="s">
        <v>1546</v>
      </c>
      <c r="DE2" s="683" t="s">
        <v>274</v>
      </c>
      <c r="DF2" s="683" t="s">
        <v>1074</v>
      </c>
      <c r="DG2" s="683" t="s">
        <v>1546</v>
      </c>
      <c r="DH2" s="683" t="s">
        <v>274</v>
      </c>
      <c r="DI2" s="683" t="s">
        <v>1074</v>
      </c>
      <c r="DJ2" s="683" t="s">
        <v>1546</v>
      </c>
      <c r="DK2" s="683" t="s">
        <v>274</v>
      </c>
      <c r="DL2" s="645" t="s">
        <v>1074</v>
      </c>
      <c r="DM2" s="683" t="s">
        <v>1546</v>
      </c>
      <c r="DN2" s="683" t="s">
        <v>274</v>
      </c>
      <c r="DO2" s="683" t="s">
        <v>1074</v>
      </c>
      <c r="DP2" s="683" t="s">
        <v>1546</v>
      </c>
      <c r="DQ2" s="683" t="s">
        <v>274</v>
      </c>
      <c r="DR2" s="683" t="s">
        <v>1074</v>
      </c>
      <c r="DS2" s="683" t="s">
        <v>1546</v>
      </c>
      <c r="DT2" s="683" t="s">
        <v>274</v>
      </c>
      <c r="DU2" s="683" t="s">
        <v>1074</v>
      </c>
      <c r="DV2" s="683" t="s">
        <v>1546</v>
      </c>
      <c r="DW2" s="683" t="s">
        <v>274</v>
      </c>
      <c r="DX2" s="683" t="s">
        <v>1074</v>
      </c>
      <c r="DY2" s="683" t="s">
        <v>1546</v>
      </c>
      <c r="DZ2" s="659"/>
      <c r="EA2" s="659"/>
      <c r="EB2" s="659"/>
      <c r="EC2" s="659"/>
    </row>
    <row r="3" spans="1:136" ht="134.25" customHeight="1" x14ac:dyDescent="0.25">
      <c r="A3" s="1009" t="s">
        <v>189</v>
      </c>
      <c r="B3" s="992" t="s">
        <v>247</v>
      </c>
      <c r="C3" s="992"/>
      <c r="D3" s="983" t="s">
        <v>1728</v>
      </c>
      <c r="E3" s="984"/>
      <c r="F3" s="985"/>
      <c r="G3" s="983" t="s">
        <v>1729</v>
      </c>
      <c r="H3" s="984" t="s">
        <v>355</v>
      </c>
      <c r="I3" s="985"/>
      <c r="J3" s="983" t="s">
        <v>1728</v>
      </c>
      <c r="K3" s="984" t="s">
        <v>377</v>
      </c>
      <c r="L3" s="985"/>
      <c r="M3" s="983" t="s">
        <v>1730</v>
      </c>
      <c r="N3" s="984" t="s">
        <v>355</v>
      </c>
      <c r="O3" s="985"/>
      <c r="P3" s="983" t="s">
        <v>1728</v>
      </c>
      <c r="Q3" s="984" t="s">
        <v>355</v>
      </c>
      <c r="R3" s="985"/>
      <c r="S3" s="983" t="s">
        <v>377</v>
      </c>
      <c r="T3" s="984" t="s">
        <v>377</v>
      </c>
      <c r="U3" s="985"/>
      <c r="V3" s="983" t="s">
        <v>1729</v>
      </c>
      <c r="W3" s="984" t="s">
        <v>377</v>
      </c>
      <c r="X3" s="985"/>
      <c r="Y3" s="983" t="s">
        <v>1730</v>
      </c>
      <c r="Z3" s="984" t="s">
        <v>380</v>
      </c>
      <c r="AA3" s="985"/>
      <c r="AB3" s="983" t="s">
        <v>1730</v>
      </c>
      <c r="AC3" s="984" t="s">
        <v>380</v>
      </c>
      <c r="AD3" s="985"/>
      <c r="AE3" s="983" t="s">
        <v>1730</v>
      </c>
      <c r="AF3" s="984" t="s">
        <v>380</v>
      </c>
      <c r="AG3" s="985"/>
      <c r="AH3" s="983" t="s">
        <v>1728</v>
      </c>
      <c r="AI3" s="984" t="s">
        <v>380</v>
      </c>
      <c r="AJ3" s="985"/>
      <c r="AK3" s="983" t="s">
        <v>1730</v>
      </c>
      <c r="AL3" s="984" t="s">
        <v>380</v>
      </c>
      <c r="AM3" s="985"/>
      <c r="AN3" s="983" t="s">
        <v>1730</v>
      </c>
      <c r="AO3" s="984" t="s">
        <v>380</v>
      </c>
      <c r="AP3" s="985"/>
      <c r="AQ3" s="983" t="s">
        <v>1731</v>
      </c>
      <c r="AR3" s="984" t="s">
        <v>1191</v>
      </c>
      <c r="AS3" s="985"/>
      <c r="AT3" s="983" t="s">
        <v>1732</v>
      </c>
      <c r="AU3" s="984" t="s">
        <v>464</v>
      </c>
      <c r="AV3" s="985"/>
      <c r="AW3" s="983" t="s">
        <v>1733</v>
      </c>
      <c r="AX3" s="984" t="s">
        <v>406</v>
      </c>
      <c r="AY3" s="985"/>
      <c r="AZ3" s="983" t="s">
        <v>253</v>
      </c>
      <c r="BA3" s="984" t="s">
        <v>253</v>
      </c>
      <c r="BB3" s="985"/>
      <c r="BC3" s="983" t="s">
        <v>254</v>
      </c>
      <c r="BD3" s="984" t="s">
        <v>254</v>
      </c>
      <c r="BE3" s="985"/>
      <c r="BF3" s="1013" t="s">
        <v>1734</v>
      </c>
      <c r="BG3" s="1014" t="s">
        <v>378</v>
      </c>
      <c r="BH3" s="1015"/>
      <c r="BI3" s="1013" t="s">
        <v>276</v>
      </c>
      <c r="BJ3" s="1014" t="s">
        <v>276</v>
      </c>
      <c r="BK3" s="1015"/>
      <c r="BL3" s="1013" t="s">
        <v>1588</v>
      </c>
      <c r="BM3" s="1014" t="s">
        <v>785</v>
      </c>
      <c r="BN3" s="1015"/>
      <c r="BO3" s="1013" t="s">
        <v>1735</v>
      </c>
      <c r="BP3" s="1014" t="s">
        <v>411</v>
      </c>
      <c r="BQ3" s="1015"/>
      <c r="BR3" s="1013" t="s">
        <v>1736</v>
      </c>
      <c r="BS3" s="1014" t="s">
        <v>360</v>
      </c>
      <c r="BT3" s="1015"/>
      <c r="BU3" s="983" t="s">
        <v>1737</v>
      </c>
      <c r="BV3" s="984" t="s">
        <v>359</v>
      </c>
      <c r="BW3" s="985"/>
      <c r="BX3" s="983" t="s">
        <v>1738</v>
      </c>
      <c r="BY3" s="984" t="s">
        <v>361</v>
      </c>
      <c r="BZ3" s="985"/>
      <c r="CA3" s="983" t="s">
        <v>1739</v>
      </c>
      <c r="CB3" s="984" t="s">
        <v>358</v>
      </c>
      <c r="CC3" s="985"/>
      <c r="CD3" s="1012" t="s">
        <v>2065</v>
      </c>
      <c r="CE3" s="984" t="s">
        <v>377</v>
      </c>
      <c r="CF3" s="985"/>
      <c r="CG3" s="983" t="s">
        <v>1740</v>
      </c>
      <c r="CH3" s="984" t="s">
        <v>460</v>
      </c>
      <c r="CI3" s="985"/>
      <c r="CJ3" s="983" t="s">
        <v>1741</v>
      </c>
      <c r="CK3" s="984" t="s">
        <v>401</v>
      </c>
      <c r="CL3" s="985"/>
      <c r="CM3" s="983" t="s">
        <v>1742</v>
      </c>
      <c r="CN3" s="984" t="s">
        <v>399</v>
      </c>
      <c r="CO3" s="985"/>
      <c r="CP3" s="983" t="s">
        <v>1743</v>
      </c>
      <c r="CQ3" s="984" t="s">
        <v>339</v>
      </c>
      <c r="CR3" s="985"/>
      <c r="CS3" s="983" t="s">
        <v>1744</v>
      </c>
      <c r="CT3" s="984" t="s">
        <v>1036</v>
      </c>
      <c r="CU3" s="985"/>
      <c r="CV3" s="983" t="s">
        <v>253</v>
      </c>
      <c r="CW3" s="984" t="s">
        <v>253</v>
      </c>
      <c r="CX3" s="985"/>
      <c r="CY3" s="983" t="s">
        <v>1745</v>
      </c>
      <c r="CZ3" s="984" t="s">
        <v>534</v>
      </c>
      <c r="DA3" s="985"/>
      <c r="DB3" s="983" t="s">
        <v>787</v>
      </c>
      <c r="DC3" s="984" t="s">
        <v>787</v>
      </c>
      <c r="DD3" s="985"/>
      <c r="DE3" s="983" t="s">
        <v>249</v>
      </c>
      <c r="DF3" s="984" t="s">
        <v>249</v>
      </c>
      <c r="DG3" s="985"/>
      <c r="DH3" s="983" t="s">
        <v>249</v>
      </c>
      <c r="DI3" s="984" t="s">
        <v>1452</v>
      </c>
      <c r="DJ3" s="985"/>
      <c r="DK3" s="983" t="s">
        <v>154</v>
      </c>
      <c r="DL3" s="984"/>
      <c r="DM3" s="984"/>
      <c r="DN3" s="984"/>
      <c r="DO3" s="984"/>
      <c r="DP3" s="985"/>
      <c r="DQ3" s="1016" t="s">
        <v>154</v>
      </c>
      <c r="DR3" s="1017"/>
      <c r="DS3" s="1017"/>
      <c r="DT3" s="1017"/>
      <c r="DU3" s="1017"/>
      <c r="DV3" s="1018"/>
      <c r="DW3" s="1016" t="s">
        <v>2196</v>
      </c>
      <c r="DX3" s="1017"/>
      <c r="DY3" s="1018"/>
      <c r="DZ3" s="659"/>
      <c r="EA3" s="659"/>
      <c r="EB3" s="659"/>
      <c r="EC3" s="659"/>
    </row>
    <row r="4" spans="1:136" ht="28.5" customHeight="1" x14ac:dyDescent="0.25">
      <c r="A4" s="1010"/>
      <c r="B4" s="992" t="s">
        <v>11</v>
      </c>
      <c r="C4" s="992"/>
      <c r="D4" s="983" t="s">
        <v>225</v>
      </c>
      <c r="E4" s="984"/>
      <c r="F4" s="985"/>
      <c r="G4" s="983" t="s">
        <v>225</v>
      </c>
      <c r="H4" s="984" t="s">
        <v>225</v>
      </c>
      <c r="I4" s="985"/>
      <c r="J4" s="983" t="s">
        <v>225</v>
      </c>
      <c r="K4" s="984" t="s">
        <v>225</v>
      </c>
      <c r="L4" s="985"/>
      <c r="M4" s="983" t="s">
        <v>225</v>
      </c>
      <c r="N4" s="984" t="s">
        <v>225</v>
      </c>
      <c r="O4" s="985"/>
      <c r="P4" s="983" t="s">
        <v>225</v>
      </c>
      <c r="Q4" s="984" t="s">
        <v>225</v>
      </c>
      <c r="R4" s="985"/>
      <c r="S4" s="983" t="s">
        <v>225</v>
      </c>
      <c r="T4" s="984" t="s">
        <v>225</v>
      </c>
      <c r="U4" s="985"/>
      <c r="V4" s="983" t="s">
        <v>225</v>
      </c>
      <c r="W4" s="984" t="s">
        <v>225</v>
      </c>
      <c r="X4" s="985"/>
      <c r="Y4" s="983" t="s">
        <v>225</v>
      </c>
      <c r="Z4" s="984" t="s">
        <v>225</v>
      </c>
      <c r="AA4" s="985"/>
      <c r="AB4" s="983" t="s">
        <v>225</v>
      </c>
      <c r="AC4" s="984" t="s">
        <v>225</v>
      </c>
      <c r="AD4" s="985"/>
      <c r="AE4" s="983" t="s">
        <v>225</v>
      </c>
      <c r="AF4" s="984" t="s">
        <v>225</v>
      </c>
      <c r="AG4" s="985"/>
      <c r="AH4" s="983" t="s">
        <v>225</v>
      </c>
      <c r="AI4" s="984" t="s">
        <v>225</v>
      </c>
      <c r="AJ4" s="985"/>
      <c r="AK4" s="983" t="s">
        <v>225</v>
      </c>
      <c r="AL4" s="984" t="s">
        <v>225</v>
      </c>
      <c r="AM4" s="985"/>
      <c r="AN4" s="983" t="s">
        <v>225</v>
      </c>
      <c r="AO4" s="984" t="s">
        <v>225</v>
      </c>
      <c r="AP4" s="985"/>
      <c r="AQ4" s="983" t="s">
        <v>226</v>
      </c>
      <c r="AR4" s="984" t="s">
        <v>226</v>
      </c>
      <c r="AS4" s="985"/>
      <c r="AT4" s="983" t="s">
        <v>226</v>
      </c>
      <c r="AU4" s="984" t="s">
        <v>226</v>
      </c>
      <c r="AV4" s="985"/>
      <c r="AW4" s="983" t="s">
        <v>226</v>
      </c>
      <c r="AX4" s="984" t="s">
        <v>226</v>
      </c>
      <c r="AY4" s="985"/>
      <c r="AZ4" s="983" t="s">
        <v>226</v>
      </c>
      <c r="BA4" s="984" t="s">
        <v>226</v>
      </c>
      <c r="BB4" s="985"/>
      <c r="BC4" s="983" t="s">
        <v>226</v>
      </c>
      <c r="BD4" s="984" t="s">
        <v>226</v>
      </c>
      <c r="BE4" s="985"/>
      <c r="BF4" s="1013" t="s">
        <v>226</v>
      </c>
      <c r="BG4" s="1014" t="s">
        <v>226</v>
      </c>
      <c r="BH4" s="1015"/>
      <c r="BI4" s="1013" t="s">
        <v>226</v>
      </c>
      <c r="BJ4" s="1014" t="s">
        <v>226</v>
      </c>
      <c r="BK4" s="1015"/>
      <c r="BL4" s="1013" t="s">
        <v>226</v>
      </c>
      <c r="BM4" s="1014" t="s">
        <v>226</v>
      </c>
      <c r="BN4" s="1015"/>
      <c r="BO4" s="1013" t="s">
        <v>226</v>
      </c>
      <c r="BP4" s="1014" t="s">
        <v>226</v>
      </c>
      <c r="BQ4" s="1015"/>
      <c r="BR4" s="1013" t="s">
        <v>226</v>
      </c>
      <c r="BS4" s="1014" t="s">
        <v>226</v>
      </c>
      <c r="BT4" s="1015"/>
      <c r="BU4" s="983" t="s">
        <v>226</v>
      </c>
      <c r="BV4" s="984" t="s">
        <v>226</v>
      </c>
      <c r="BW4" s="985"/>
      <c r="BX4" s="983" t="s">
        <v>226</v>
      </c>
      <c r="BY4" s="984" t="s">
        <v>226</v>
      </c>
      <c r="BZ4" s="985"/>
      <c r="CA4" s="983" t="s">
        <v>225</v>
      </c>
      <c r="CB4" s="984" t="s">
        <v>225</v>
      </c>
      <c r="CC4" s="985"/>
      <c r="CD4" s="983" t="s">
        <v>226</v>
      </c>
      <c r="CE4" s="984" t="s">
        <v>226</v>
      </c>
      <c r="CF4" s="985"/>
      <c r="CG4" s="983" t="s">
        <v>226</v>
      </c>
      <c r="CH4" s="984" t="s">
        <v>226</v>
      </c>
      <c r="CI4" s="985"/>
      <c r="CJ4" s="983" t="s">
        <v>226</v>
      </c>
      <c r="CK4" s="984" t="s">
        <v>226</v>
      </c>
      <c r="CL4" s="985"/>
      <c r="CM4" s="983" t="s">
        <v>225</v>
      </c>
      <c r="CN4" s="984" t="s">
        <v>225</v>
      </c>
      <c r="CO4" s="985"/>
      <c r="CP4" s="983" t="s">
        <v>226</v>
      </c>
      <c r="CQ4" s="984" t="s">
        <v>226</v>
      </c>
      <c r="CR4" s="985"/>
      <c r="CS4" s="983" t="s">
        <v>226</v>
      </c>
      <c r="CT4" s="984" t="s">
        <v>226</v>
      </c>
      <c r="CU4" s="985"/>
      <c r="CV4" s="983" t="s">
        <v>226</v>
      </c>
      <c r="CW4" s="984" t="s">
        <v>226</v>
      </c>
      <c r="CX4" s="985"/>
      <c r="CY4" s="983" t="s">
        <v>226</v>
      </c>
      <c r="CZ4" s="984" t="s">
        <v>226</v>
      </c>
      <c r="DA4" s="985"/>
      <c r="DB4" s="983" t="s">
        <v>225</v>
      </c>
      <c r="DC4" s="984" t="s">
        <v>225</v>
      </c>
      <c r="DD4" s="985"/>
      <c r="DE4" s="983" t="s">
        <v>225</v>
      </c>
      <c r="DF4" s="984" t="s">
        <v>225</v>
      </c>
      <c r="DG4" s="985"/>
      <c r="DH4" s="983" t="s">
        <v>225</v>
      </c>
      <c r="DI4" s="984" t="s">
        <v>225</v>
      </c>
      <c r="DJ4" s="985"/>
      <c r="DK4" s="997" t="s">
        <v>225</v>
      </c>
      <c r="DL4" s="998"/>
      <c r="DM4" s="999"/>
      <c r="DN4" s="997" t="s">
        <v>327</v>
      </c>
      <c r="DO4" s="998" t="s">
        <v>327</v>
      </c>
      <c r="DP4" s="999"/>
      <c r="DQ4" s="997" t="s">
        <v>227</v>
      </c>
      <c r="DR4" s="998" t="s">
        <v>227</v>
      </c>
      <c r="DS4" s="999"/>
      <c r="DT4" s="997" t="s">
        <v>246</v>
      </c>
      <c r="DU4" s="998" t="s">
        <v>246</v>
      </c>
      <c r="DV4" s="999"/>
      <c r="DW4" s="1019"/>
      <c r="DX4" s="1020"/>
      <c r="DY4" s="1021"/>
      <c r="DZ4" s="659"/>
      <c r="EA4" s="659"/>
      <c r="EB4" s="659"/>
      <c r="EC4" s="659"/>
    </row>
    <row r="5" spans="1:136" ht="30" customHeight="1" x14ac:dyDescent="0.25">
      <c r="A5" s="1010"/>
      <c r="B5" s="992" t="s">
        <v>646</v>
      </c>
      <c r="C5" s="992"/>
      <c r="D5" s="997" t="s">
        <v>2135</v>
      </c>
      <c r="E5" s="998"/>
      <c r="F5" s="999"/>
      <c r="G5" s="997" t="s">
        <v>1746</v>
      </c>
      <c r="H5" s="998" t="s">
        <v>626</v>
      </c>
      <c r="I5" s="999"/>
      <c r="J5" s="997" t="s">
        <v>1747</v>
      </c>
      <c r="K5" s="998" t="s">
        <v>686</v>
      </c>
      <c r="L5" s="999"/>
      <c r="M5" s="997" t="s">
        <v>1748</v>
      </c>
      <c r="N5" s="998" t="s">
        <v>627</v>
      </c>
      <c r="O5" s="999"/>
      <c r="P5" s="997" t="s">
        <v>1749</v>
      </c>
      <c r="Q5" s="998" t="s">
        <v>628</v>
      </c>
      <c r="R5" s="999"/>
      <c r="S5" s="997" t="s">
        <v>1750</v>
      </c>
      <c r="T5" s="998" t="s">
        <v>901</v>
      </c>
      <c r="U5" s="999"/>
      <c r="V5" s="997" t="s">
        <v>1751</v>
      </c>
      <c r="W5" s="998" t="s">
        <v>902</v>
      </c>
      <c r="X5" s="999"/>
      <c r="Y5" s="997" t="s">
        <v>1752</v>
      </c>
      <c r="Z5" s="998" t="s">
        <v>629</v>
      </c>
      <c r="AA5" s="999"/>
      <c r="AB5" s="997" t="s">
        <v>1753</v>
      </c>
      <c r="AC5" s="998" t="s">
        <v>382</v>
      </c>
      <c r="AD5" s="999"/>
      <c r="AE5" s="997" t="s">
        <v>1754</v>
      </c>
      <c r="AF5" s="998" t="s">
        <v>381</v>
      </c>
      <c r="AG5" s="999"/>
      <c r="AH5" s="997" t="s">
        <v>1755</v>
      </c>
      <c r="AI5" s="998" t="s">
        <v>1194</v>
      </c>
      <c r="AJ5" s="999"/>
      <c r="AK5" s="997" t="s">
        <v>1756</v>
      </c>
      <c r="AL5" s="998" t="s">
        <v>498</v>
      </c>
      <c r="AM5" s="999"/>
      <c r="AN5" s="997" t="s">
        <v>1757</v>
      </c>
      <c r="AO5" s="998" t="s">
        <v>1316</v>
      </c>
      <c r="AP5" s="999"/>
      <c r="AQ5" s="997" t="s">
        <v>1758</v>
      </c>
      <c r="AR5" s="998" t="s">
        <v>1192</v>
      </c>
      <c r="AS5" s="999"/>
      <c r="AT5" s="997" t="s">
        <v>1759</v>
      </c>
      <c r="AU5" s="998" t="s">
        <v>630</v>
      </c>
      <c r="AV5" s="999"/>
      <c r="AW5" s="997" t="s">
        <v>2136</v>
      </c>
      <c r="AX5" s="998" t="s">
        <v>631</v>
      </c>
      <c r="AY5" s="999"/>
      <c r="AZ5" s="997" t="s">
        <v>1760</v>
      </c>
      <c r="BA5" s="998" t="s">
        <v>632</v>
      </c>
      <c r="BB5" s="999"/>
      <c r="BC5" s="997" t="s">
        <v>1761</v>
      </c>
      <c r="BD5" s="998" t="s">
        <v>633</v>
      </c>
      <c r="BE5" s="999"/>
      <c r="BF5" s="1003" t="s">
        <v>1762</v>
      </c>
      <c r="BG5" s="1004"/>
      <c r="BH5" s="1004"/>
      <c r="BI5" s="1004"/>
      <c r="BJ5" s="1004"/>
      <c r="BK5" s="1005"/>
      <c r="BL5" s="1003" t="s">
        <v>1763</v>
      </c>
      <c r="BM5" s="1004"/>
      <c r="BN5" s="1004"/>
      <c r="BO5" s="1004"/>
      <c r="BP5" s="1004"/>
      <c r="BQ5" s="1005"/>
      <c r="BR5" s="1003" t="s">
        <v>1763</v>
      </c>
      <c r="BS5" s="1004"/>
      <c r="BT5" s="1005"/>
      <c r="BU5" s="997" t="s">
        <v>1764</v>
      </c>
      <c r="BV5" s="998" t="s">
        <v>634</v>
      </c>
      <c r="BW5" s="999"/>
      <c r="BX5" s="997" t="s">
        <v>1765</v>
      </c>
      <c r="BY5" s="998" t="s">
        <v>1242</v>
      </c>
      <c r="BZ5" s="999"/>
      <c r="CA5" s="997" t="s">
        <v>1766</v>
      </c>
      <c r="CB5" s="998" t="s">
        <v>1140</v>
      </c>
      <c r="CC5" s="999"/>
      <c r="CD5" s="997" t="s">
        <v>1767</v>
      </c>
      <c r="CE5" s="998" t="s">
        <v>635</v>
      </c>
      <c r="CF5" s="999"/>
      <c r="CG5" s="997" t="s">
        <v>1768</v>
      </c>
      <c r="CH5" s="998" t="s">
        <v>636</v>
      </c>
      <c r="CI5" s="999"/>
      <c r="CJ5" s="997" t="s">
        <v>1769</v>
      </c>
      <c r="CK5" s="998" t="s">
        <v>687</v>
      </c>
      <c r="CL5" s="999"/>
      <c r="CM5" s="997" t="s">
        <v>1770</v>
      </c>
      <c r="CN5" s="998" t="s">
        <v>637</v>
      </c>
      <c r="CO5" s="999"/>
      <c r="CP5" s="997" t="s">
        <v>1771</v>
      </c>
      <c r="CQ5" s="998" t="s">
        <v>683</v>
      </c>
      <c r="CR5" s="999"/>
      <c r="CS5" s="997" t="s">
        <v>1772</v>
      </c>
      <c r="CT5" s="998" t="s">
        <v>1193</v>
      </c>
      <c r="CU5" s="999"/>
      <c r="CV5" s="997" t="s">
        <v>2137</v>
      </c>
      <c r="CW5" s="998"/>
      <c r="CX5" s="999"/>
      <c r="CY5" s="997" t="s">
        <v>1773</v>
      </c>
      <c r="CZ5" s="998" t="s">
        <v>638</v>
      </c>
      <c r="DA5" s="999"/>
      <c r="DB5" s="997" t="s">
        <v>1774</v>
      </c>
      <c r="DC5" s="998" t="s">
        <v>1064</v>
      </c>
      <c r="DD5" s="999"/>
      <c r="DE5" s="997" t="s">
        <v>1775</v>
      </c>
      <c r="DF5" s="998" t="s">
        <v>639</v>
      </c>
      <c r="DG5" s="999"/>
      <c r="DH5" s="997" t="s">
        <v>1776</v>
      </c>
      <c r="DI5" s="998" t="s">
        <v>745</v>
      </c>
      <c r="DJ5" s="999"/>
      <c r="DK5" s="1025"/>
      <c r="DL5" s="1026"/>
      <c r="DM5" s="1027"/>
      <c r="DN5" s="1025"/>
      <c r="DO5" s="1026"/>
      <c r="DP5" s="1027"/>
      <c r="DQ5" s="1025"/>
      <c r="DR5" s="1026"/>
      <c r="DS5" s="1027"/>
      <c r="DT5" s="1025"/>
      <c r="DU5" s="1026"/>
      <c r="DV5" s="1027"/>
      <c r="DW5" s="1019"/>
      <c r="DX5" s="1020"/>
      <c r="DY5" s="1021"/>
      <c r="DZ5" s="659"/>
      <c r="EA5" s="659"/>
      <c r="EB5" s="659"/>
      <c r="EC5" s="659"/>
    </row>
    <row r="6" spans="1:136" ht="110.25" customHeight="1" x14ac:dyDescent="0.25">
      <c r="A6" s="1011"/>
      <c r="B6" s="682" t="s">
        <v>190</v>
      </c>
      <c r="C6" s="205" t="s">
        <v>248</v>
      </c>
      <c r="D6" s="1000"/>
      <c r="E6" s="1001"/>
      <c r="F6" s="1002"/>
      <c r="G6" s="1000"/>
      <c r="H6" s="1001"/>
      <c r="I6" s="1002"/>
      <c r="J6" s="1000"/>
      <c r="K6" s="1001"/>
      <c r="L6" s="1002"/>
      <c r="M6" s="1000"/>
      <c r="N6" s="1001"/>
      <c r="O6" s="1002"/>
      <c r="P6" s="1000"/>
      <c r="Q6" s="1001"/>
      <c r="R6" s="1002"/>
      <c r="S6" s="1000"/>
      <c r="T6" s="1001"/>
      <c r="U6" s="1002"/>
      <c r="V6" s="1000"/>
      <c r="W6" s="1001"/>
      <c r="X6" s="1002"/>
      <c r="Y6" s="1000"/>
      <c r="Z6" s="1001"/>
      <c r="AA6" s="1002"/>
      <c r="AB6" s="1000"/>
      <c r="AC6" s="1001"/>
      <c r="AD6" s="1002"/>
      <c r="AE6" s="1000"/>
      <c r="AF6" s="1001"/>
      <c r="AG6" s="1002"/>
      <c r="AH6" s="1000"/>
      <c r="AI6" s="1001"/>
      <c r="AJ6" s="1002"/>
      <c r="AK6" s="1000"/>
      <c r="AL6" s="1001"/>
      <c r="AM6" s="1002"/>
      <c r="AN6" s="1000"/>
      <c r="AO6" s="1001"/>
      <c r="AP6" s="1002"/>
      <c r="AQ6" s="1000"/>
      <c r="AR6" s="1001"/>
      <c r="AS6" s="1002"/>
      <c r="AT6" s="1000"/>
      <c r="AU6" s="1001"/>
      <c r="AV6" s="1002"/>
      <c r="AW6" s="1000"/>
      <c r="AX6" s="1001"/>
      <c r="AY6" s="1002"/>
      <c r="AZ6" s="1000"/>
      <c r="BA6" s="1001"/>
      <c r="BB6" s="1002"/>
      <c r="BC6" s="1000"/>
      <c r="BD6" s="1001"/>
      <c r="BE6" s="1002"/>
      <c r="BF6" s="1006"/>
      <c r="BG6" s="1007"/>
      <c r="BH6" s="1007"/>
      <c r="BI6" s="1007"/>
      <c r="BJ6" s="1007"/>
      <c r="BK6" s="1008"/>
      <c r="BL6" s="1006"/>
      <c r="BM6" s="1007"/>
      <c r="BN6" s="1007"/>
      <c r="BO6" s="1007"/>
      <c r="BP6" s="1007"/>
      <c r="BQ6" s="1008"/>
      <c r="BR6" s="1006"/>
      <c r="BS6" s="1007"/>
      <c r="BT6" s="1008"/>
      <c r="BU6" s="1000"/>
      <c r="BV6" s="1001"/>
      <c r="BW6" s="1002"/>
      <c r="BX6" s="1000"/>
      <c r="BY6" s="1001"/>
      <c r="BZ6" s="1002"/>
      <c r="CA6" s="1000"/>
      <c r="CB6" s="1001"/>
      <c r="CC6" s="1002"/>
      <c r="CD6" s="1000"/>
      <c r="CE6" s="1001"/>
      <c r="CF6" s="1002"/>
      <c r="CG6" s="1000"/>
      <c r="CH6" s="1001"/>
      <c r="CI6" s="1002"/>
      <c r="CJ6" s="1000"/>
      <c r="CK6" s="1001"/>
      <c r="CL6" s="1002"/>
      <c r="CM6" s="1000"/>
      <c r="CN6" s="1001"/>
      <c r="CO6" s="1002"/>
      <c r="CP6" s="1000"/>
      <c r="CQ6" s="1001"/>
      <c r="CR6" s="1002"/>
      <c r="CS6" s="1000"/>
      <c r="CT6" s="1001"/>
      <c r="CU6" s="1002"/>
      <c r="CV6" s="1000"/>
      <c r="CW6" s="1001"/>
      <c r="CX6" s="1002"/>
      <c r="CY6" s="1000"/>
      <c r="CZ6" s="1001"/>
      <c r="DA6" s="1002"/>
      <c r="DB6" s="1000"/>
      <c r="DC6" s="1001"/>
      <c r="DD6" s="1002"/>
      <c r="DE6" s="1000"/>
      <c r="DF6" s="1001"/>
      <c r="DG6" s="1002"/>
      <c r="DH6" s="1000"/>
      <c r="DI6" s="1001"/>
      <c r="DJ6" s="1002"/>
      <c r="DK6" s="1000"/>
      <c r="DL6" s="1001"/>
      <c r="DM6" s="1002"/>
      <c r="DN6" s="1000"/>
      <c r="DO6" s="1001"/>
      <c r="DP6" s="1002"/>
      <c r="DQ6" s="1000"/>
      <c r="DR6" s="1001"/>
      <c r="DS6" s="1002"/>
      <c r="DT6" s="1000"/>
      <c r="DU6" s="1001"/>
      <c r="DV6" s="1002"/>
      <c r="DW6" s="1022"/>
      <c r="DX6" s="1023"/>
      <c r="DY6" s="1024"/>
      <c r="DZ6" s="659"/>
      <c r="EA6" s="659"/>
      <c r="EB6" s="659"/>
      <c r="EC6" s="659"/>
    </row>
    <row r="7" spans="1:136" ht="16.5" customHeight="1" x14ac:dyDescent="0.25">
      <c r="A7" s="206" t="s">
        <v>191</v>
      </c>
      <c r="B7" s="207" t="s">
        <v>192</v>
      </c>
      <c r="C7" s="207" t="s">
        <v>193</v>
      </c>
      <c r="D7" s="299" t="s">
        <v>1826</v>
      </c>
      <c r="E7" s="299" t="s">
        <v>1827</v>
      </c>
      <c r="F7" s="299" t="s">
        <v>1828</v>
      </c>
      <c r="G7" s="299" t="s">
        <v>1829</v>
      </c>
      <c r="H7" s="299" t="s">
        <v>1830</v>
      </c>
      <c r="I7" s="299" t="s">
        <v>1831</v>
      </c>
      <c r="J7" s="299" t="s">
        <v>1832</v>
      </c>
      <c r="K7" s="299" t="s">
        <v>1833</v>
      </c>
      <c r="L7" s="299" t="s">
        <v>1834</v>
      </c>
      <c r="M7" s="299" t="s">
        <v>1835</v>
      </c>
      <c r="N7" s="299" t="s">
        <v>1836</v>
      </c>
      <c r="O7" s="299" t="s">
        <v>1837</v>
      </c>
      <c r="P7" s="299" t="s">
        <v>1838</v>
      </c>
      <c r="Q7" s="299" t="s">
        <v>1839</v>
      </c>
      <c r="R7" s="299" t="s">
        <v>1840</v>
      </c>
      <c r="S7" s="299" t="s">
        <v>1841</v>
      </c>
      <c r="T7" s="299" t="s">
        <v>1842</v>
      </c>
      <c r="U7" s="299" t="s">
        <v>1843</v>
      </c>
      <c r="V7" s="299" t="s">
        <v>1844</v>
      </c>
      <c r="W7" s="299" t="s">
        <v>1845</v>
      </c>
      <c r="X7" s="299" t="s">
        <v>1846</v>
      </c>
      <c r="Y7" s="299" t="s">
        <v>1847</v>
      </c>
      <c r="Z7" s="299" t="s">
        <v>1848</v>
      </c>
      <c r="AA7" s="299" t="s">
        <v>1849</v>
      </c>
      <c r="AB7" s="299" t="s">
        <v>1850</v>
      </c>
      <c r="AC7" s="299" t="s">
        <v>1851</v>
      </c>
      <c r="AD7" s="299" t="s">
        <v>1852</v>
      </c>
      <c r="AE7" s="299" t="s">
        <v>1853</v>
      </c>
      <c r="AF7" s="299" t="s">
        <v>1854</v>
      </c>
      <c r="AG7" s="299" t="s">
        <v>1855</v>
      </c>
      <c r="AH7" s="299" t="s">
        <v>1856</v>
      </c>
      <c r="AI7" s="299" t="s">
        <v>1857</v>
      </c>
      <c r="AJ7" s="299" t="s">
        <v>1858</v>
      </c>
      <c r="AK7" s="299" t="s">
        <v>1859</v>
      </c>
      <c r="AL7" s="299" t="s">
        <v>1860</v>
      </c>
      <c r="AM7" s="299" t="s">
        <v>1861</v>
      </c>
      <c r="AN7" s="299" t="s">
        <v>1862</v>
      </c>
      <c r="AO7" s="299" t="s">
        <v>1863</v>
      </c>
      <c r="AP7" s="299" t="s">
        <v>1864</v>
      </c>
      <c r="AQ7" s="299" t="s">
        <v>1865</v>
      </c>
      <c r="AR7" s="299" t="s">
        <v>1866</v>
      </c>
      <c r="AS7" s="299" t="s">
        <v>1867</v>
      </c>
      <c r="AT7" s="299" t="s">
        <v>1868</v>
      </c>
      <c r="AU7" s="299" t="s">
        <v>1869</v>
      </c>
      <c r="AV7" s="299" t="s">
        <v>1870</v>
      </c>
      <c r="AW7" s="299" t="s">
        <v>1871</v>
      </c>
      <c r="AX7" s="299" t="s">
        <v>1872</v>
      </c>
      <c r="AY7" s="299" t="s">
        <v>1873</v>
      </c>
      <c r="AZ7" s="299" t="s">
        <v>1874</v>
      </c>
      <c r="BA7" s="299" t="s">
        <v>1875</v>
      </c>
      <c r="BB7" s="299" t="s">
        <v>1876</v>
      </c>
      <c r="BC7" s="299" t="s">
        <v>1877</v>
      </c>
      <c r="BD7" s="299" t="s">
        <v>1878</v>
      </c>
      <c r="BE7" s="299" t="s">
        <v>1879</v>
      </c>
      <c r="BF7" s="299" t="s">
        <v>1880</v>
      </c>
      <c r="BG7" s="299" t="s">
        <v>1881</v>
      </c>
      <c r="BH7" s="299" t="s">
        <v>1882</v>
      </c>
      <c r="BI7" s="299" t="s">
        <v>1883</v>
      </c>
      <c r="BJ7" s="299" t="s">
        <v>1884</v>
      </c>
      <c r="BK7" s="299" t="s">
        <v>1885</v>
      </c>
      <c r="BL7" s="299" t="s">
        <v>1886</v>
      </c>
      <c r="BM7" s="299" t="s">
        <v>1887</v>
      </c>
      <c r="BN7" s="299" t="s">
        <v>1888</v>
      </c>
      <c r="BO7" s="299" t="s">
        <v>1889</v>
      </c>
      <c r="BP7" s="299" t="s">
        <v>1890</v>
      </c>
      <c r="BQ7" s="299" t="s">
        <v>1891</v>
      </c>
      <c r="BR7" s="299" t="s">
        <v>1892</v>
      </c>
      <c r="BS7" s="299" t="s">
        <v>1893</v>
      </c>
      <c r="BT7" s="299" t="s">
        <v>1894</v>
      </c>
      <c r="BU7" s="299" t="s">
        <v>1895</v>
      </c>
      <c r="BV7" s="299" t="s">
        <v>1896</v>
      </c>
      <c r="BW7" s="299" t="s">
        <v>1897</v>
      </c>
      <c r="BX7" s="299" t="s">
        <v>1898</v>
      </c>
      <c r="BY7" s="299" t="s">
        <v>1899</v>
      </c>
      <c r="BZ7" s="299" t="s">
        <v>1900</v>
      </c>
      <c r="CA7" s="299" t="s">
        <v>1901</v>
      </c>
      <c r="CB7" s="299" t="s">
        <v>1902</v>
      </c>
      <c r="CC7" s="299" t="s">
        <v>1903</v>
      </c>
      <c r="CD7" s="299" t="s">
        <v>1904</v>
      </c>
      <c r="CE7" s="299" t="s">
        <v>1905</v>
      </c>
      <c r="CF7" s="299" t="s">
        <v>1906</v>
      </c>
      <c r="CG7" s="299" t="s">
        <v>1907</v>
      </c>
      <c r="CH7" s="299" t="s">
        <v>1908</v>
      </c>
      <c r="CI7" s="299" t="s">
        <v>1909</v>
      </c>
      <c r="CJ7" s="299" t="s">
        <v>1910</v>
      </c>
      <c r="CK7" s="299" t="s">
        <v>1911</v>
      </c>
      <c r="CL7" s="299" t="s">
        <v>1912</v>
      </c>
      <c r="CM7" s="299" t="s">
        <v>1913</v>
      </c>
      <c r="CN7" s="299" t="s">
        <v>1914</v>
      </c>
      <c r="CO7" s="299" t="s">
        <v>1915</v>
      </c>
      <c r="CP7" s="299" t="s">
        <v>1916</v>
      </c>
      <c r="CQ7" s="299" t="s">
        <v>1917</v>
      </c>
      <c r="CR7" s="299" t="s">
        <v>1918</v>
      </c>
      <c r="CS7" s="299" t="s">
        <v>1919</v>
      </c>
      <c r="CT7" s="299" t="s">
        <v>1920</v>
      </c>
      <c r="CU7" s="299" t="s">
        <v>1921</v>
      </c>
      <c r="CV7" s="299" t="s">
        <v>1922</v>
      </c>
      <c r="CW7" s="299" t="s">
        <v>1923</v>
      </c>
      <c r="CX7" s="299" t="s">
        <v>1924</v>
      </c>
      <c r="CY7" s="299" t="s">
        <v>1925</v>
      </c>
      <c r="CZ7" s="299" t="s">
        <v>1926</v>
      </c>
      <c r="DA7" s="299" t="s">
        <v>1927</v>
      </c>
      <c r="DB7" s="299" t="s">
        <v>1928</v>
      </c>
      <c r="DC7" s="299" t="s">
        <v>1929</v>
      </c>
      <c r="DD7" s="299" t="s">
        <v>1930</v>
      </c>
      <c r="DE7" s="299" t="s">
        <v>1931</v>
      </c>
      <c r="DF7" s="299" t="s">
        <v>1932</v>
      </c>
      <c r="DG7" s="299" t="s">
        <v>1933</v>
      </c>
      <c r="DH7" s="299" t="s">
        <v>1934</v>
      </c>
      <c r="DI7" s="299" t="s">
        <v>1935</v>
      </c>
      <c r="DJ7" s="299" t="s">
        <v>1936</v>
      </c>
      <c r="DK7" s="299" t="s">
        <v>1937</v>
      </c>
      <c r="DL7" s="299" t="s">
        <v>1938</v>
      </c>
      <c r="DM7" s="299" t="s">
        <v>1939</v>
      </c>
      <c r="DN7" s="299" t="s">
        <v>1940</v>
      </c>
      <c r="DO7" s="299" t="s">
        <v>1941</v>
      </c>
      <c r="DP7" s="299" t="s">
        <v>1942</v>
      </c>
      <c r="DQ7" s="299" t="s">
        <v>2138</v>
      </c>
      <c r="DR7" s="299" t="s">
        <v>2139</v>
      </c>
      <c r="DS7" s="299" t="s">
        <v>2140</v>
      </c>
      <c r="DT7" s="299" t="s">
        <v>2141</v>
      </c>
      <c r="DU7" s="299" t="s">
        <v>2142</v>
      </c>
      <c r="DV7" s="299" t="s">
        <v>2143</v>
      </c>
      <c r="DW7" s="299" t="s">
        <v>2144</v>
      </c>
      <c r="DX7" s="299" t="s">
        <v>2145</v>
      </c>
      <c r="DY7" s="299" t="s">
        <v>2146</v>
      </c>
      <c r="DZ7" s="662"/>
      <c r="EA7" s="662"/>
      <c r="EB7" s="662"/>
      <c r="EC7" s="662"/>
    </row>
    <row r="8" spans="1:136" ht="21.75" customHeight="1" x14ac:dyDescent="0.25">
      <c r="A8" s="208" t="s">
        <v>191</v>
      </c>
      <c r="B8" s="209" t="s">
        <v>330</v>
      </c>
      <c r="C8" s="210" t="s">
        <v>202</v>
      </c>
      <c r="D8" s="229"/>
      <c r="E8" s="229"/>
      <c r="F8" s="229"/>
      <c r="G8" s="229"/>
      <c r="H8" s="229"/>
      <c r="I8" s="229"/>
      <c r="J8" s="229"/>
      <c r="K8" s="229"/>
      <c r="L8" s="229"/>
      <c r="M8" s="229"/>
      <c r="N8" s="229"/>
      <c r="O8" s="229"/>
      <c r="P8" s="229"/>
      <c r="Q8" s="229"/>
      <c r="R8" s="229"/>
      <c r="S8" s="229"/>
      <c r="T8" s="229"/>
      <c r="U8" s="229"/>
      <c r="V8" s="229"/>
      <c r="W8" s="229"/>
      <c r="X8" s="229"/>
      <c r="Y8" s="258"/>
      <c r="Z8" s="258"/>
      <c r="AA8" s="258"/>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58"/>
      <c r="BG8" s="258"/>
      <c r="BH8" s="258"/>
      <c r="BI8" s="258"/>
      <c r="BJ8" s="258"/>
      <c r="BK8" s="258"/>
      <c r="BL8" s="258"/>
      <c r="BM8" s="258"/>
      <c r="BN8" s="258"/>
      <c r="BO8" s="258"/>
      <c r="BP8" s="258"/>
      <c r="BQ8" s="258"/>
      <c r="BR8" s="258"/>
      <c r="BS8" s="258"/>
      <c r="BT8" s="258"/>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41"/>
      <c r="DC8" s="241"/>
      <c r="DD8" s="241"/>
      <c r="DE8" s="241"/>
      <c r="DF8" s="241"/>
      <c r="DG8" s="241"/>
      <c r="DH8" s="241"/>
      <c r="DI8" s="241"/>
      <c r="DJ8" s="241"/>
      <c r="DK8" s="241">
        <f>SUMIFS('1.a sz. Önkormányzat 2022. '!D8:MH8,'1.a sz. Önkormányzat 2022. '!$D$4:$MH$4,"kötelező",'1.a sz. Önkormányzat 2022. '!$D$2:$MH$2,"Eredeti előirányzat")+SUMIFS(D8:DI8,$D$4:$DI$4,"kötelező",$D$2:$DI$2,"Eredeti előirányzat")</f>
        <v>179586657</v>
      </c>
      <c r="DL8" s="211">
        <f>+'1.a sz. Önkormányzat 2022. '!MY8+'1.b sz. Önkormányzat 2022.'!DZ8</f>
        <v>225195675</v>
      </c>
      <c r="DM8" s="241">
        <f>+'1.a sz. Önkormányzat 2022. '!MZ8+'1.b sz. Önkormányzat 2022.'!EA8</f>
        <v>197637963</v>
      </c>
      <c r="DN8" s="241">
        <f>SUMIFS('1.a sz. Önkormányzat 2022. '!D8:MM8,'1.a sz. Önkormányzat 2022. '!$D$4:$MM$4,"önként vállalt",'1.a sz. Önkormányzat 2022. '!$D$2:$MM$2,"Eredeti előirányzat")+SUMIFS(D8:DI8,$D$4:$DI$4,"önként vállalt",$D$2:$DI$2,"Eredeti előirányzat")</f>
        <v>67827910</v>
      </c>
      <c r="DO8" s="211">
        <f>+'1.a sz. Önkormányzat 2022. '!NA8+'1.b sz. Önkormányzat 2022.'!EB8</f>
        <v>72132323</v>
      </c>
      <c r="DP8" s="241">
        <f>+'1.a sz. Önkormányzat 2022. '!NB8+'1.b sz. Önkormányzat 2022.'!EC8</f>
        <v>62369605</v>
      </c>
      <c r="DQ8" s="241">
        <f>SUMIFS('1.a sz. Önkormányzat 2022. '!D8:MH8,'1.a sz. Önkormányzat 2022. '!$D$4:$MH$4,"államigazgatási",'1.a sz. Önkormányzat 2022. '!$D$2:$MH$2,"Eredeti előirányzat")+SUMIFS(D8:DI8,$D$4:$DI$4,"államigazgatási",$D$2:$DI$2,"Eredeti előirányzat")</f>
        <v>0</v>
      </c>
      <c r="DR8" s="241">
        <f>SUMIFS('1.a sz. Önkormányzat 2022. '!D8:MH8,'1.a sz. Önkormányzat 2022. '!$D$4:$MH$4,"államigazgatási",'1.a sz. Önkormányzat 2022. '!$D$2:$MH$2,"Módosított előirányzat")+SUMIFS(D8:DI8,$D$4:$DI$4,"államigazgatási",$D$2:$DI$2,"Módosított előirányzat")</f>
        <v>0</v>
      </c>
      <c r="DS8" s="241">
        <f>SUMIFS('1.a sz. Önkormányzat 2022. '!E8:MI8,'1.a sz. Önkormányzat 2022. '!$D$4:$MH$4,"államigazgatási",'1.a sz. Önkormányzat 2022. '!$D$2:$MH$2,"Módosított előirányzat")+SUMIFS(E8:DJ8,$D$4:$DI$4,"államigazgatási",$D$2:$DI$2,"Módosított előirányzat")</f>
        <v>0</v>
      </c>
      <c r="DT8" s="241">
        <f>DK8+DN8+DQ8</f>
        <v>247414567</v>
      </c>
      <c r="DU8" s="694">
        <f t="shared" ref="DU8:DU15" si="0">DL8+DO8+DR8</f>
        <v>297327998</v>
      </c>
      <c r="DV8" s="211">
        <f>DM8+DP8+DS8</f>
        <v>260007568</v>
      </c>
      <c r="DW8" s="383">
        <f>+'1.a sz. Önkormányzat 2022. '!LF8</f>
        <v>0</v>
      </c>
      <c r="DX8" s="383">
        <f>+'1.a sz. Önkormányzat 2022. '!LG8</f>
        <v>579760</v>
      </c>
      <c r="DY8" s="383">
        <f>+'1.a sz. Önkormányzat 2022. '!LH8</f>
        <v>434820</v>
      </c>
      <c r="DZ8" s="679">
        <f>+E8+H8+K8+N8+Q8+T8+W8+Z8+AC8+AF8+AI8+AL8+AO8+CB8+CN8+DC8+DF8+DI8</f>
        <v>0</v>
      </c>
      <c r="EA8" s="679">
        <f>+F8+I8+L8+O8+R8+U8+X8+AA8+AD8+AG8+AJ8+AM8+AP8+CC8+CO8+DD8+DG8+DJ8</f>
        <v>0</v>
      </c>
      <c r="EB8" s="676">
        <f>+AR8+AU8+AX8+BA8+BD8+BG8+BJ8+BM8+BP8+BS8+BV8+BY8+CE8+CH8+CK8+CQ8+CT8+CZ8+CW8</f>
        <v>0</v>
      </c>
      <c r="EC8" s="676">
        <f>+AS8+AV8+AY8+BB8+BE8+BH8+BK8+BN8+BQ8+BT8+BW8+BZ8+CF8+CI8+CL8+CR8+CU8+DA8+CX8</f>
        <v>0</v>
      </c>
      <c r="ED8" s="213"/>
    </row>
    <row r="9" spans="1:136" s="215" customFormat="1" ht="21.75" customHeight="1" x14ac:dyDescent="0.25">
      <c r="A9" s="208" t="s">
        <v>192</v>
      </c>
      <c r="B9" s="214" t="s">
        <v>203</v>
      </c>
      <c r="C9" s="210" t="s">
        <v>204</v>
      </c>
      <c r="D9" s="229"/>
      <c r="E9" s="229"/>
      <c r="F9" s="229"/>
      <c r="G9" s="229"/>
      <c r="H9" s="229"/>
      <c r="I9" s="229"/>
      <c r="J9" s="229"/>
      <c r="K9" s="229"/>
      <c r="L9" s="229"/>
      <c r="M9" s="229"/>
      <c r="N9" s="229"/>
      <c r="O9" s="229"/>
      <c r="P9" s="229"/>
      <c r="Q9" s="229"/>
      <c r="R9" s="229"/>
      <c r="S9" s="229"/>
      <c r="T9" s="229"/>
      <c r="U9" s="229"/>
      <c r="V9" s="229"/>
      <c r="W9" s="229"/>
      <c r="X9" s="229"/>
      <c r="Y9" s="258"/>
      <c r="Z9" s="258"/>
      <c r="AA9" s="258"/>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58"/>
      <c r="BG9" s="258"/>
      <c r="BH9" s="258"/>
      <c r="BI9" s="258"/>
      <c r="BJ9" s="258"/>
      <c r="BK9" s="258"/>
      <c r="BL9" s="258"/>
      <c r="BM9" s="258"/>
      <c r="BN9" s="258"/>
      <c r="BO9" s="258"/>
      <c r="BP9" s="258"/>
      <c r="BQ9" s="258"/>
      <c r="BR9" s="258"/>
      <c r="BS9" s="258"/>
      <c r="BT9" s="258"/>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40"/>
      <c r="DC9" s="240"/>
      <c r="DD9" s="240"/>
      <c r="DE9" s="240"/>
      <c r="DF9" s="240"/>
      <c r="DG9" s="240"/>
      <c r="DH9" s="240"/>
      <c r="DI9" s="240"/>
      <c r="DJ9" s="240"/>
      <c r="DK9" s="241">
        <f>SUMIFS('1.a sz. Önkormányzat 2022. '!D9:MH9,'1.a sz. Önkormányzat 2022. '!$D$4:$MH$4,"kötelező",'1.a sz. Önkormányzat 2022. '!$D$2:$MH$2,"Eredeti előirányzat")+SUMIFS(D9:DI9,$D$4:$DI$4,"kötelező",$D$2:$DI$2,"Eredeti előirányzat")</f>
        <v>25968186</v>
      </c>
      <c r="DL9" s="211">
        <f>+'1.a sz. Önkormányzat 2022. '!MY9+'1.b sz. Önkormányzat 2022.'!DZ9</f>
        <v>29835790</v>
      </c>
      <c r="DM9" s="241">
        <f>+'1.a sz. Önkormányzat 2022. '!MZ9+'1.b sz. Önkormányzat 2022.'!EA9</f>
        <v>23113087</v>
      </c>
      <c r="DN9" s="241">
        <f>SUMIFS('1.a sz. Önkormányzat 2022. '!D9:MM9,'1.a sz. Önkormányzat 2022. '!$D$4:$MM$4,"önként vállalt",'1.a sz. Önkormányzat 2022. '!$D$2:$MM$2,"Eredeti előirányzat")+SUMIFS(D9:DI9,$D$4:$DI$4,"önként vállalt",$D$2:$DI$2,"Eredeti előirányzat")</f>
        <v>8986135</v>
      </c>
      <c r="DO9" s="211">
        <f>+'1.a sz. Önkormányzat 2022. '!NA9+'1.b sz. Önkormányzat 2022.'!EB9</f>
        <v>11290903</v>
      </c>
      <c r="DP9" s="241">
        <f>+'1.a sz. Önkormányzat 2022. '!NB9+'1.b sz. Önkormányzat 2022.'!EC9</f>
        <v>9508683</v>
      </c>
      <c r="DQ9" s="241">
        <f>SUMIFS('1.a sz. Önkormányzat 2022. '!D9:MH9,'1.a sz. Önkormányzat 2022. '!$D$4:$MH$4,"államigazgatási",'1.a sz. Önkormányzat 2022. '!$D$2:$MH$2,"Eredeti előirányzat")+SUMIFS(D9:DI9,$D$4:$DI$4,"államigazgatási",$D$2:$DI$2,"Eredeti előirányzat")</f>
        <v>0</v>
      </c>
      <c r="DR9" s="241">
        <f>SUMIFS('1.a sz. Önkormányzat 2022. '!D9:MH9,'1.a sz. Önkormányzat 2022. '!$D$4:$MH$4,"államigazgatási",'1.a sz. Önkormányzat 2022. '!$D$2:$MH$2,"Módosított előirányzat")+SUMIFS(D9:DI9,$D$4:$DI$4,"államigazgatási",$D$2:$DI$2,"Módosított előirányzat")</f>
        <v>0</v>
      </c>
      <c r="DS9" s="241">
        <f>SUMIFS('1.a sz. Önkormányzat 2022. '!E9:MI9,'1.a sz. Önkormányzat 2022. '!$D$4:$MH$4,"államigazgatási",'1.a sz. Önkormányzat 2022. '!$D$2:$MH$2,"Módosított előirányzat")+SUMIFS(E9:DJ9,$D$4:$DI$4,"államigazgatási",$D$2:$DI$2,"Módosított előirányzat")</f>
        <v>0</v>
      </c>
      <c r="DT9" s="241">
        <f t="shared" ref="DT9:DT49" si="1">DK9+DN9+DQ9</f>
        <v>34954321</v>
      </c>
      <c r="DU9" s="694">
        <f t="shared" si="0"/>
        <v>41126693</v>
      </c>
      <c r="DV9" s="211">
        <f t="shared" ref="DV9:DV50" si="2">DM9+DP9+DS9</f>
        <v>32621770</v>
      </c>
      <c r="DW9" s="383">
        <f>+'1.a sz. Önkormányzat 2022. '!LF9</f>
        <v>0</v>
      </c>
      <c r="DX9" s="383">
        <f>+'1.a sz. Önkormányzat 2022. '!LG9</f>
        <v>67832</v>
      </c>
      <c r="DY9" s="383">
        <f>+'1.a sz. Önkormányzat 2022. '!LH9</f>
        <v>50874</v>
      </c>
      <c r="DZ9" s="679">
        <f t="shared" ref="DZ9:DZ50" si="3">+E9+H9+K9+N9+Q9+T9+W9+Z9+AC9+AF9+AI9+AL9+AO9+CB9+CN9+DC9+DF9+DI9</f>
        <v>0</v>
      </c>
      <c r="EA9" s="679">
        <f t="shared" ref="EA9:EA51" si="4">+F9+I9+L9+O9+R9+U9+X9+AA9+AD9+AG9+AJ9+AM9+AP9+CC9+CO9+DD9+DG9+DJ9</f>
        <v>0</v>
      </c>
      <c r="EB9" s="676">
        <f t="shared" ref="EB9:EB51" si="5">+AR9+AU9+AX9+BA9+BD9+BG9+BJ9+BM9+BP9+BS9+BV9+BY9+CE9+CH9+CK9+CQ9+CT9+CZ9+CW9</f>
        <v>0</v>
      </c>
      <c r="EC9" s="676">
        <f t="shared" ref="EC9:EC51" si="6">+AS9+AV9+AY9+BB9+BE9+BH9+BK9+BN9+BQ9+BT9+BW9+BZ9+CF9+CI9+CL9+CR9+CU9+DA9+CX9</f>
        <v>0</v>
      </c>
      <c r="ED9" s="213"/>
    </row>
    <row r="10" spans="1:136" s="245" customFormat="1" ht="21.75" customHeight="1" x14ac:dyDescent="0.25">
      <c r="A10" s="295" t="s">
        <v>193</v>
      </c>
      <c r="B10" s="860" t="s">
        <v>331</v>
      </c>
      <c r="C10" s="297" t="s">
        <v>205</v>
      </c>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f>(1500000+4020000+1454785)+29531+8077</f>
        <v>7012393</v>
      </c>
      <c r="CB10" s="229">
        <v>6966393</v>
      </c>
      <c r="CC10" s="229">
        <v>5763310</v>
      </c>
      <c r="CD10" s="229"/>
      <c r="CE10" s="229"/>
      <c r="CF10" s="229"/>
      <c r="CG10" s="229"/>
      <c r="CH10" s="229"/>
      <c r="CI10" s="229"/>
      <c r="CJ10" s="229">
        <v>17912080</v>
      </c>
      <c r="CK10" s="229">
        <v>17912080</v>
      </c>
      <c r="CL10" s="229">
        <v>16419403</v>
      </c>
      <c r="CM10" s="229">
        <v>14800000</v>
      </c>
      <c r="CN10" s="229">
        <v>14800004</v>
      </c>
      <c r="CO10" s="229">
        <v>12970925</v>
      </c>
      <c r="CP10" s="229">
        <f>+(862500)+625000</f>
        <v>1487500</v>
      </c>
      <c r="CQ10" s="229">
        <v>1487500</v>
      </c>
      <c r="CR10" s="229">
        <v>962500</v>
      </c>
      <c r="CS10" s="229"/>
      <c r="CT10" s="229"/>
      <c r="CU10" s="229"/>
      <c r="CV10" s="229"/>
      <c r="CW10" s="229"/>
      <c r="CX10" s="229"/>
      <c r="CY10" s="229">
        <v>40000000</v>
      </c>
      <c r="CZ10" s="229">
        <f>40000000+941+978</f>
        <v>40001919</v>
      </c>
      <c r="DA10" s="229">
        <v>24189682</v>
      </c>
      <c r="DB10" s="241"/>
      <c r="DC10" s="241"/>
      <c r="DD10" s="241"/>
      <c r="DE10" s="241"/>
      <c r="DF10" s="241"/>
      <c r="DG10" s="241"/>
      <c r="DH10" s="241"/>
      <c r="DI10" s="241"/>
      <c r="DJ10" s="241"/>
      <c r="DK10" s="241">
        <f>SUMIFS('1.a sz. Önkormányzat 2022. '!D10:MH10,'1.a sz. Önkormányzat 2022. '!$D$4:$MH$4,"kötelező",'1.a sz. Önkormányzat 2022. '!$D$2:$MH$2,"Eredeti előirányzat")+SUMIFS(D10:DI10,$D$4:$DI$4,"kötelező",$D$2:$DI$2,"Eredeti előirányzat")</f>
        <v>1990584287</v>
      </c>
      <c r="DL10" s="241">
        <f>+'1.a sz. Önkormányzat 2022. '!MY10+'1.b sz. Önkormányzat 2022.'!DZ10</f>
        <v>2394367253</v>
      </c>
      <c r="DM10" s="694">
        <f>+'1.a sz. Önkormányzat 2022. '!MZ10+'1.b sz. Önkormányzat 2022.'!EA10</f>
        <v>2062613084</v>
      </c>
      <c r="DN10" s="694">
        <f>SUMIFS('1.a sz. Önkormányzat 2022. '!D10:MM10,'1.a sz. Önkormányzat 2022. '!$D$4:$MM$4,"önként vállalt",'1.a sz. Önkormányzat 2022. '!$D$2:$MM$2,"Eredeti előirányzat")+SUMIFS(D10:DI10,$D$4:$DI$4,"önként vállalt",$D$2:$DI$2,"Eredeti előirányzat")</f>
        <v>259339973</v>
      </c>
      <c r="DO10" s="241">
        <f>+'1.a sz. Önkormányzat 2022. '!NA10+'1.b sz. Önkormányzat 2022.'!EB10</f>
        <v>404515863</v>
      </c>
      <c r="DP10" s="694">
        <f>+'1.a sz. Önkormányzat 2022. '!NB10+'1.b sz. Önkormányzat 2022.'!EC10</f>
        <v>319618272</v>
      </c>
      <c r="DQ10" s="241">
        <f>SUMIFS('1.a sz. Önkormányzat 2022. '!D10:MH10,'1.a sz. Önkormányzat 2022. '!$D$4:$MH$4,"államigazgatási",'1.a sz. Önkormányzat 2022. '!$D$2:$MH$2,"Eredeti előirányzat")+SUMIFS(D10:DI10,$D$4:$DI$4,"államigazgatási",$D$2:$DI$2,"Eredeti előirányzat")</f>
        <v>0</v>
      </c>
      <c r="DR10" s="241">
        <f>SUMIFS('1.a sz. Önkormányzat 2022. '!D10:MH10,'1.a sz. Önkormányzat 2022. '!$D$4:$MH$4,"államigazgatási",'1.a sz. Önkormányzat 2022. '!$D$2:$MH$2,"Módosított előirányzat")+SUMIFS(D10:DI10,$D$4:$DI$4,"államigazgatási",$D$2:$DI$2,"Módosított előirányzat")</f>
        <v>0</v>
      </c>
      <c r="DS10" s="241">
        <f>SUMIFS('1.a sz. Önkormányzat 2022. '!E10:MI10,'1.a sz. Önkormányzat 2022. '!$D$4:$MH$4,"államigazgatási",'1.a sz. Önkormányzat 2022. '!$D$2:$MH$2,"Módosított előirányzat")+SUMIFS(E10:DJ10,$D$4:$DI$4,"államigazgatási",$D$2:$DI$2,"Módosított előirányzat")</f>
        <v>0</v>
      </c>
      <c r="DT10" s="241">
        <f t="shared" si="1"/>
        <v>2249924260</v>
      </c>
      <c r="DU10" s="694">
        <f t="shared" si="0"/>
        <v>2798883116</v>
      </c>
      <c r="DV10" s="241">
        <f t="shared" si="2"/>
        <v>2382231356</v>
      </c>
      <c r="DW10" s="383">
        <f>+'1.a sz. Önkormányzat 2022. '!LF10</f>
        <v>0</v>
      </c>
      <c r="DX10" s="383">
        <f>+'1.a sz. Önkormányzat 2022. '!LG10</f>
        <v>7499350</v>
      </c>
      <c r="DY10" s="383">
        <f>+'1.a sz. Önkormányzat 2022. '!LH10</f>
        <v>7499350</v>
      </c>
      <c r="DZ10" s="679">
        <f>+E10+H10+K10+N10+Q10+T10+W10+Z10+AC10+AF10+AI10+AL10+AO10+CB10+CN10+DC10+DF10+DI10</f>
        <v>21766397</v>
      </c>
      <c r="EA10" s="679">
        <f t="shared" si="4"/>
        <v>18734235</v>
      </c>
      <c r="EB10" s="676">
        <f t="shared" si="5"/>
        <v>59401499</v>
      </c>
      <c r="EC10" s="676">
        <f t="shared" si="6"/>
        <v>41571585</v>
      </c>
      <c r="ED10" s="244">
        <v>1288029137</v>
      </c>
      <c r="EE10" s="244" t="e">
        <f>+ED10-#REF!</f>
        <v>#REF!</v>
      </c>
      <c r="EF10" s="244">
        <f>2382231356-DV10</f>
        <v>0</v>
      </c>
    </row>
    <row r="11" spans="1:136" ht="21.75" customHeight="1" x14ac:dyDescent="0.25">
      <c r="A11" s="208" t="s">
        <v>194</v>
      </c>
      <c r="B11" s="217" t="s">
        <v>332</v>
      </c>
      <c r="C11" s="210" t="s">
        <v>206</v>
      </c>
      <c r="D11" s="229">
        <f>+'[1]9.sz. Szociális'!E8+'[1]9.sz. Szociális'!E9</f>
        <v>23000000</v>
      </c>
      <c r="E11" s="229">
        <v>16819430</v>
      </c>
      <c r="F11" s="229">
        <v>12780226</v>
      </c>
      <c r="G11" s="229">
        <f>+'[1]9.sz. Szociális'!E12</f>
        <v>1500000</v>
      </c>
      <c r="H11" s="229">
        <v>1500000</v>
      </c>
      <c r="I11" s="229"/>
      <c r="J11" s="229">
        <f>+'[1]9.sz. Szociális'!E13</f>
        <v>2300000</v>
      </c>
      <c r="K11" s="229">
        <v>2300000</v>
      </c>
      <c r="L11" s="229">
        <v>915970</v>
      </c>
      <c r="M11" s="229">
        <f>+'[1]9.sz. Szociális'!E14</f>
        <v>2000000</v>
      </c>
      <c r="N11" s="229">
        <v>2000000</v>
      </c>
      <c r="O11" s="229">
        <v>326340</v>
      </c>
      <c r="P11" s="229">
        <f>+'[1]9.sz. Szociális'!E15</f>
        <v>3000000</v>
      </c>
      <c r="Q11" s="229">
        <v>3000000</v>
      </c>
      <c r="R11" s="229">
        <v>1702500</v>
      </c>
      <c r="S11" s="229">
        <f>+'[1]9.sz. Szociális'!E10</f>
        <v>4000000</v>
      </c>
      <c r="T11" s="229">
        <v>4000000</v>
      </c>
      <c r="U11" s="229">
        <v>3675056</v>
      </c>
      <c r="V11" s="229">
        <f>+'[1]9.sz. Szociális'!E11</f>
        <v>500000</v>
      </c>
      <c r="W11" s="229">
        <v>500000</v>
      </c>
      <c r="X11" s="229">
        <v>33651</v>
      </c>
      <c r="Y11" s="258"/>
      <c r="Z11" s="258"/>
      <c r="AA11" s="258"/>
      <c r="AB11" s="229">
        <f>+'[1]9.sz. Szociális'!E16</f>
        <v>500000</v>
      </c>
      <c r="AC11" s="229">
        <v>500000</v>
      </c>
      <c r="AD11" s="229">
        <v>70000</v>
      </c>
      <c r="AE11" s="229">
        <f>+'[1]9.sz. Szociális'!E17</f>
        <v>200000</v>
      </c>
      <c r="AF11" s="229">
        <v>200000</v>
      </c>
      <c r="AG11" s="229"/>
      <c r="AH11" s="229"/>
      <c r="AI11" s="229">
        <v>1000000</v>
      </c>
      <c r="AJ11" s="229"/>
      <c r="AK11" s="229">
        <f>+'[1]9.sz. Szociális'!E18</f>
        <v>7000000</v>
      </c>
      <c r="AL11" s="229">
        <v>7000000</v>
      </c>
      <c r="AM11" s="229">
        <v>5269145</v>
      </c>
      <c r="AN11" s="229"/>
      <c r="AO11" s="229">
        <v>9000000</v>
      </c>
      <c r="AP11" s="229">
        <v>7041241</v>
      </c>
      <c r="AQ11" s="229"/>
      <c r="AR11" s="229"/>
      <c r="AS11" s="229"/>
      <c r="AT11" s="229"/>
      <c r="AU11" s="229"/>
      <c r="AV11" s="229"/>
      <c r="AW11" s="229"/>
      <c r="AX11" s="229"/>
      <c r="AY11" s="229"/>
      <c r="AZ11" s="229"/>
      <c r="BA11" s="229"/>
      <c r="BB11" s="229"/>
      <c r="BC11" s="229"/>
      <c r="BD11" s="229"/>
      <c r="BE11" s="229"/>
      <c r="BF11" s="258"/>
      <c r="BG11" s="258"/>
      <c r="BH11" s="258"/>
      <c r="BI11" s="258"/>
      <c r="BJ11" s="258"/>
      <c r="BK11" s="258"/>
      <c r="BL11" s="258"/>
      <c r="BM11" s="258"/>
      <c r="BN11" s="258"/>
      <c r="BO11" s="258"/>
      <c r="BP11" s="258"/>
      <c r="BQ11" s="258"/>
      <c r="BR11" s="258"/>
      <c r="BS11" s="258"/>
      <c r="BT11" s="258"/>
      <c r="BU11" s="229"/>
      <c r="BV11" s="229"/>
      <c r="BW11" s="229"/>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229"/>
      <c r="CT11" s="229"/>
      <c r="CU11" s="229"/>
      <c r="CV11" s="229"/>
      <c r="CW11" s="229"/>
      <c r="CX11" s="229"/>
      <c r="CY11" s="229"/>
      <c r="CZ11" s="229"/>
      <c r="DA11" s="229"/>
      <c r="DB11" s="241"/>
      <c r="DC11" s="241"/>
      <c r="DD11" s="241"/>
      <c r="DE11" s="241"/>
      <c r="DF11" s="241"/>
      <c r="DG11" s="241"/>
      <c r="DH11" s="241"/>
      <c r="DI11" s="241"/>
      <c r="DJ11" s="241"/>
      <c r="DK11" s="241">
        <f>SUMIFS('1.a sz. Önkormányzat 2022. '!D11:MH11,'1.a sz. Önkormányzat 2022. '!$D$4:$MH$4,"kötelező",'1.a sz. Önkormányzat 2022. '!$D$2:$MH$2,"Eredeti előirányzat")+SUMIFS(D11:DI11,$D$4:$DI$4,"kötelező",$D$2:$DI$2,"Eredeti előirányzat")</f>
        <v>44000000</v>
      </c>
      <c r="DL11" s="211">
        <f>+'1.a sz. Önkormányzat 2022. '!MY11+'1.b sz. Önkormányzat 2022.'!DZ11</f>
        <v>47819430</v>
      </c>
      <c r="DM11" s="694">
        <f>+'1.a sz. Önkormányzat 2022. '!MZ11+'1.b sz. Önkormányzat 2022.'!EA11</f>
        <v>31814129</v>
      </c>
      <c r="DN11" s="694">
        <f>SUMIFS('1.a sz. Önkormányzat 2022. '!D11:MM11,'1.a sz. Önkormányzat 2022. '!$D$4:$MM$4,"önként vállalt",'1.a sz. Önkormányzat 2022. '!$D$2:$MM$2,"Eredeti előirányzat")+SUMIFS(D11:DI11,$D$4:$DI$4,"önként vállalt",$D$2:$DI$2,"Eredeti előirányzat")</f>
        <v>0</v>
      </c>
      <c r="DO11" s="241">
        <f>+'1.a sz. Önkormányzat 2022. '!NA11+'1.b sz. Önkormányzat 2022.'!EB11</f>
        <v>0</v>
      </c>
      <c r="DP11" s="694">
        <f>+'1.a sz. Önkormányzat 2022. '!NB11+'1.b sz. Önkormányzat 2022.'!EC11</f>
        <v>0</v>
      </c>
      <c r="DQ11" s="241">
        <f>SUMIFS('1.a sz. Önkormányzat 2022. '!D11:MH11,'1.a sz. Önkormányzat 2022. '!$D$4:$MH$4,"államigazgatási",'1.a sz. Önkormányzat 2022. '!$D$2:$MH$2,"Eredeti előirányzat")+SUMIFS(D11:DI11,$D$4:$DI$4,"államigazgatási",$D$2:$DI$2,"Eredeti előirányzat")</f>
        <v>0</v>
      </c>
      <c r="DR11" s="241">
        <f>SUMIFS('1.a sz. Önkormányzat 2022. '!D11:MH11,'1.a sz. Önkormányzat 2022. '!$D$4:$MH$4,"államigazgatási",'1.a sz. Önkormányzat 2022. '!$D$2:$MH$2,"Módosított előirányzat")+SUMIFS(D11:DI11,$D$4:$DI$4,"államigazgatási",$D$2:$DI$2,"Módosított előirányzat")</f>
        <v>0</v>
      </c>
      <c r="DS11" s="241">
        <f>SUMIFS('1.a sz. Önkormányzat 2022. '!E11:MI11,'1.a sz. Önkormányzat 2022. '!$D$4:$MH$4,"államigazgatási",'1.a sz. Önkormányzat 2022. '!$D$2:$MH$2,"Módosított előirányzat")+SUMIFS(E11:DJ11,$D$4:$DI$4,"államigazgatási",$D$2:$DI$2,"Módosított előirányzat")</f>
        <v>0</v>
      </c>
      <c r="DT11" s="241">
        <f>DK11+DN11+DQ11</f>
        <v>44000000</v>
      </c>
      <c r="DU11" s="694">
        <f t="shared" si="0"/>
        <v>47819430</v>
      </c>
      <c r="DV11" s="211">
        <f t="shared" si="2"/>
        <v>31814129</v>
      </c>
      <c r="DW11" s="383">
        <f>+'1.a sz. Önkormányzat 2022. '!LF11</f>
        <v>0</v>
      </c>
      <c r="DX11" s="383">
        <f>+'1.a sz. Önkormányzat 2022. '!LG11</f>
        <v>0</v>
      </c>
      <c r="DY11" s="383">
        <f>+'1.a sz. Önkormányzat 2022. '!LH11</f>
        <v>0</v>
      </c>
      <c r="DZ11" s="679">
        <f t="shared" si="3"/>
        <v>47819430</v>
      </c>
      <c r="EA11" s="679">
        <f t="shared" si="4"/>
        <v>31814129</v>
      </c>
      <c r="EB11" s="676">
        <f t="shared" si="5"/>
        <v>0</v>
      </c>
      <c r="EC11" s="676">
        <f t="shared" si="6"/>
        <v>0</v>
      </c>
      <c r="ED11" s="204">
        <v>43456000</v>
      </c>
      <c r="EE11" s="213" t="e">
        <f>+ED11-#REF!</f>
        <v>#REF!</v>
      </c>
      <c r="EF11" s="213">
        <f>+F11+I11+L11+O11+R11+U11+X11+AD11+AG11+AJ11+AM11+AP11</f>
        <v>31814129</v>
      </c>
    </row>
    <row r="12" spans="1:136" s="245" customFormat="1" ht="21.75" customHeight="1" x14ac:dyDescent="0.25">
      <c r="A12" s="295" t="s">
        <v>195</v>
      </c>
      <c r="B12" s="859" t="s">
        <v>237</v>
      </c>
      <c r="C12" s="297" t="s">
        <v>207</v>
      </c>
      <c r="D12" s="229">
        <f t="shared" ref="D12:DC12" si="7">+D13+D14+D15</f>
        <v>0</v>
      </c>
      <c r="E12" s="229">
        <f t="shared" si="7"/>
        <v>0</v>
      </c>
      <c r="F12" s="229">
        <f t="shared" si="7"/>
        <v>0</v>
      </c>
      <c r="G12" s="229">
        <f t="shared" si="7"/>
        <v>0</v>
      </c>
      <c r="H12" s="229">
        <f t="shared" si="7"/>
        <v>0</v>
      </c>
      <c r="I12" s="229">
        <f t="shared" si="7"/>
        <v>0</v>
      </c>
      <c r="J12" s="229">
        <f t="shared" si="7"/>
        <v>0</v>
      </c>
      <c r="K12" s="229">
        <f t="shared" si="7"/>
        <v>0</v>
      </c>
      <c r="L12" s="229">
        <f t="shared" si="7"/>
        <v>0</v>
      </c>
      <c r="M12" s="229">
        <f t="shared" si="7"/>
        <v>0</v>
      </c>
      <c r="N12" s="229">
        <f t="shared" si="7"/>
        <v>0</v>
      </c>
      <c r="O12" s="229">
        <f t="shared" si="7"/>
        <v>0</v>
      </c>
      <c r="P12" s="229">
        <f t="shared" si="7"/>
        <v>0</v>
      </c>
      <c r="Q12" s="229">
        <f t="shared" si="7"/>
        <v>0</v>
      </c>
      <c r="R12" s="229">
        <f t="shared" si="7"/>
        <v>0</v>
      </c>
      <c r="S12" s="229">
        <f t="shared" si="7"/>
        <v>0</v>
      </c>
      <c r="T12" s="229">
        <f t="shared" si="7"/>
        <v>0</v>
      </c>
      <c r="U12" s="229">
        <f t="shared" si="7"/>
        <v>0</v>
      </c>
      <c r="V12" s="229">
        <f t="shared" si="7"/>
        <v>0</v>
      </c>
      <c r="W12" s="229">
        <f t="shared" si="7"/>
        <v>0</v>
      </c>
      <c r="X12" s="229">
        <f t="shared" si="7"/>
        <v>0</v>
      </c>
      <c r="Y12" s="229">
        <f t="shared" si="7"/>
        <v>0</v>
      </c>
      <c r="Z12" s="229">
        <f t="shared" si="7"/>
        <v>0</v>
      </c>
      <c r="AA12" s="229">
        <f t="shared" si="7"/>
        <v>0</v>
      </c>
      <c r="AB12" s="229">
        <f t="shared" si="7"/>
        <v>0</v>
      </c>
      <c r="AC12" s="229">
        <f t="shared" si="7"/>
        <v>0</v>
      </c>
      <c r="AD12" s="229">
        <f t="shared" si="7"/>
        <v>0</v>
      </c>
      <c r="AE12" s="229">
        <f t="shared" si="7"/>
        <v>0</v>
      </c>
      <c r="AF12" s="229">
        <f t="shared" si="7"/>
        <v>0</v>
      </c>
      <c r="AG12" s="229">
        <f t="shared" si="7"/>
        <v>0</v>
      </c>
      <c r="AH12" s="229">
        <f t="shared" si="7"/>
        <v>0</v>
      </c>
      <c r="AI12" s="229">
        <f t="shared" si="7"/>
        <v>0</v>
      </c>
      <c r="AJ12" s="229">
        <f t="shared" si="7"/>
        <v>0</v>
      </c>
      <c r="AK12" s="229">
        <f t="shared" si="7"/>
        <v>0</v>
      </c>
      <c r="AL12" s="229">
        <f t="shared" si="7"/>
        <v>0</v>
      </c>
      <c r="AM12" s="229">
        <f t="shared" si="7"/>
        <v>0</v>
      </c>
      <c r="AN12" s="229">
        <f t="shared" si="7"/>
        <v>0</v>
      </c>
      <c r="AO12" s="229">
        <f t="shared" si="7"/>
        <v>0</v>
      </c>
      <c r="AP12" s="229">
        <f t="shared" si="7"/>
        <v>0</v>
      </c>
      <c r="AQ12" s="229">
        <f t="shared" si="7"/>
        <v>0</v>
      </c>
      <c r="AR12" s="229">
        <f t="shared" si="7"/>
        <v>0</v>
      </c>
      <c r="AS12" s="229">
        <f t="shared" si="7"/>
        <v>0</v>
      </c>
      <c r="AT12" s="229">
        <f t="shared" si="7"/>
        <v>0</v>
      </c>
      <c r="AU12" s="229">
        <f t="shared" si="7"/>
        <v>0</v>
      </c>
      <c r="AV12" s="229">
        <f t="shared" si="7"/>
        <v>0</v>
      </c>
      <c r="AW12" s="229">
        <f t="shared" si="7"/>
        <v>0</v>
      </c>
      <c r="AX12" s="229">
        <f t="shared" si="7"/>
        <v>34006</v>
      </c>
      <c r="AY12" s="229">
        <f t="shared" si="7"/>
        <v>34006</v>
      </c>
      <c r="AZ12" s="229">
        <f t="shared" si="7"/>
        <v>7047905</v>
      </c>
      <c r="BA12" s="229">
        <f t="shared" si="7"/>
        <v>7047905</v>
      </c>
      <c r="BB12" s="229">
        <v>7047905</v>
      </c>
      <c r="BC12" s="229">
        <f t="shared" si="7"/>
        <v>117853492</v>
      </c>
      <c r="BD12" s="229">
        <f t="shared" si="7"/>
        <v>116217201</v>
      </c>
      <c r="BE12" s="229">
        <f t="shared" si="7"/>
        <v>116217201</v>
      </c>
      <c r="BF12" s="229">
        <f t="shared" si="7"/>
        <v>3220000</v>
      </c>
      <c r="BG12" s="229">
        <f t="shared" si="7"/>
        <v>3957452</v>
      </c>
      <c r="BH12" s="229">
        <f t="shared" si="7"/>
        <v>3957452</v>
      </c>
      <c r="BI12" s="229">
        <f t="shared" si="7"/>
        <v>0</v>
      </c>
      <c r="BJ12" s="229">
        <f t="shared" si="7"/>
        <v>5005000</v>
      </c>
      <c r="BK12" s="229">
        <v>5005000</v>
      </c>
      <c r="BL12" s="229">
        <f t="shared" si="7"/>
        <v>0</v>
      </c>
      <c r="BM12" s="229">
        <f t="shared" si="7"/>
        <v>0</v>
      </c>
      <c r="BN12" s="229">
        <f t="shared" si="7"/>
        <v>0</v>
      </c>
      <c r="BO12" s="229">
        <f t="shared" si="7"/>
        <v>2590000</v>
      </c>
      <c r="BP12" s="229">
        <f t="shared" si="7"/>
        <v>14020000</v>
      </c>
      <c r="BQ12" s="229">
        <f t="shared" si="7"/>
        <v>13920000</v>
      </c>
      <c r="BR12" s="229">
        <f t="shared" si="7"/>
        <v>0</v>
      </c>
      <c r="BS12" s="229">
        <f t="shared" si="7"/>
        <v>1770000</v>
      </c>
      <c r="BT12" s="229">
        <f t="shared" si="7"/>
        <v>1770000</v>
      </c>
      <c r="BU12" s="229">
        <f t="shared" si="7"/>
        <v>3080000</v>
      </c>
      <c r="BV12" s="229">
        <f t="shared" si="7"/>
        <v>3080000</v>
      </c>
      <c r="BW12" s="229">
        <f t="shared" si="7"/>
        <v>3080000</v>
      </c>
      <c r="BX12" s="229">
        <f t="shared" si="7"/>
        <v>0</v>
      </c>
      <c r="BY12" s="229">
        <f t="shared" si="7"/>
        <v>3375000</v>
      </c>
      <c r="BZ12" s="229">
        <f t="shared" si="7"/>
        <v>3375000</v>
      </c>
      <c r="CA12" s="229">
        <f t="shared" si="7"/>
        <v>79620000</v>
      </c>
      <c r="CB12" s="229">
        <f t="shared" si="7"/>
        <v>107352000</v>
      </c>
      <c r="CC12" s="229">
        <f t="shared" si="7"/>
        <v>99133479</v>
      </c>
      <c r="CD12" s="229">
        <f t="shared" si="7"/>
        <v>4000000</v>
      </c>
      <c r="CE12" s="229">
        <f t="shared" si="7"/>
        <v>4000000</v>
      </c>
      <c r="CF12" s="229">
        <f t="shared" si="7"/>
        <v>3900000</v>
      </c>
      <c r="CG12" s="229">
        <f t="shared" si="7"/>
        <v>26600000</v>
      </c>
      <c r="CH12" s="229">
        <f t="shared" si="7"/>
        <v>26600000</v>
      </c>
      <c r="CI12" s="229">
        <f t="shared" si="7"/>
        <v>26600000</v>
      </c>
      <c r="CJ12" s="229">
        <f t="shared" si="7"/>
        <v>25216800</v>
      </c>
      <c r="CK12" s="229">
        <f t="shared" si="7"/>
        <v>29216800</v>
      </c>
      <c r="CL12" s="229">
        <f t="shared" si="7"/>
        <v>29216800</v>
      </c>
      <c r="CM12" s="229">
        <f t="shared" si="7"/>
        <v>14856000</v>
      </c>
      <c r="CN12" s="229">
        <f t="shared" si="7"/>
        <v>14856000</v>
      </c>
      <c r="CO12" s="229">
        <f t="shared" si="7"/>
        <v>14856000</v>
      </c>
      <c r="CP12" s="229">
        <f t="shared" si="7"/>
        <v>0</v>
      </c>
      <c r="CQ12" s="229">
        <f t="shared" si="7"/>
        <v>0</v>
      </c>
      <c r="CR12" s="229">
        <f t="shared" si="7"/>
        <v>0</v>
      </c>
      <c r="CS12" s="229">
        <f t="shared" si="7"/>
        <v>210500</v>
      </c>
      <c r="CT12" s="229">
        <f t="shared" si="7"/>
        <v>1390500</v>
      </c>
      <c r="CU12" s="229">
        <f t="shared" si="7"/>
        <v>1390500</v>
      </c>
      <c r="CV12" s="229">
        <f t="shared" si="7"/>
        <v>0</v>
      </c>
      <c r="CW12" s="229">
        <f t="shared" si="7"/>
        <v>0</v>
      </c>
      <c r="CX12" s="229">
        <f t="shared" si="7"/>
        <v>0</v>
      </c>
      <c r="CY12" s="229">
        <f t="shared" si="7"/>
        <v>0</v>
      </c>
      <c r="CZ12" s="229">
        <f t="shared" si="7"/>
        <v>0</v>
      </c>
      <c r="DA12" s="229">
        <f t="shared" si="7"/>
        <v>0</v>
      </c>
      <c r="DB12" s="229">
        <f t="shared" si="7"/>
        <v>0</v>
      </c>
      <c r="DC12" s="229">
        <f t="shared" si="7"/>
        <v>0</v>
      </c>
      <c r="DD12" s="229">
        <f t="shared" ref="DD12:DJ12" si="8">+DD13+DD14+DD15</f>
        <v>0</v>
      </c>
      <c r="DE12" s="229">
        <f t="shared" si="8"/>
        <v>0</v>
      </c>
      <c r="DF12" s="229">
        <f t="shared" si="8"/>
        <v>0</v>
      </c>
      <c r="DG12" s="229">
        <f t="shared" si="8"/>
        <v>0</v>
      </c>
      <c r="DH12" s="229">
        <f t="shared" si="8"/>
        <v>0</v>
      </c>
      <c r="DI12" s="229">
        <f t="shared" si="8"/>
        <v>0</v>
      </c>
      <c r="DJ12" s="229">
        <f t="shared" si="8"/>
        <v>0</v>
      </c>
      <c r="DK12" s="241">
        <f>SUMIFS('1.a sz. Önkormányzat 2022. '!D12:MH12,'1.a sz. Önkormányzat 2022. '!$D$4:$MH$4,"kötelező",'1.a sz. Önkormányzat 2022. '!$D$2:$MH$2,"Eredeti előirányzat")+SUMIFS(D12:DI12,$D$4:$DI$4,"kötelező",$D$2:$DI$2,"Eredeti előirányzat")</f>
        <v>1891458171</v>
      </c>
      <c r="DL12" s="241">
        <f>SUMIFS('1.a sz. Önkormányzat 2022. '!E12:MI12,'1.a sz. Önkormányzat 2022. '!$D$4:$MH$4,"kötelező",'1.a sz. Önkormányzat 2022. '!$D$2:$MH$2,"Eredeti előirányzat")+SUMIFS(E12:DJ12,$D$4:$DI$4,"kötelező",$D$2:$DI$2,"Eredeti előirányzat")</f>
        <v>2893683396</v>
      </c>
      <c r="DM12" s="694">
        <f>+'1.a sz. Önkormányzat 2022. '!MZ12+'1.b sz. Önkormányzat 2022.'!EA12</f>
        <v>1012610137</v>
      </c>
      <c r="DN12" s="694">
        <f>SUMIFS('1.a sz. Önkormányzat 2022. '!D12:MM12,'1.a sz. Önkormányzat 2022. '!$D$4:$MM$4,"önként vállalt",'1.a sz. Önkormányzat 2022. '!$D$2:$MM$2,"Eredeti előirányzat")+SUMIFS(D12:DI12,$D$4:$DI$4,"önként vállalt",$D$2:$DI$2,"Eredeti előirányzat")</f>
        <v>189818697</v>
      </c>
      <c r="DO12" s="241">
        <f>+'1.a sz. Önkormányzat 2022. '!NA12+'1.b sz. Önkormányzat 2022.'!EB12</f>
        <v>215713864</v>
      </c>
      <c r="DP12" s="694">
        <f>+'1.a sz. Önkormányzat 2022. '!NB12+'1.b sz. Önkormányzat 2022.'!EC12</f>
        <v>215513864</v>
      </c>
      <c r="DQ12" s="241">
        <f>SUMIFS('1.a sz. Önkormányzat 2022. '!D12:MH12,'1.a sz. Önkormányzat 2022. '!$D$4:$MH$4,"államigazgatási",'1.a sz. Önkormányzat 2022. '!$D$2:$MH$2,"Eredeti előirányzat")+SUMIFS(D12:DI12,$D$4:$DI$4,"államigazgatási",$D$2:$DI$2,"Eredeti előirányzat")</f>
        <v>0</v>
      </c>
      <c r="DR12" s="241">
        <f>SUMIFS('1.a sz. Önkormányzat 2022. '!D12:MH12,'1.a sz. Önkormányzat 2022. '!$D$4:$MH$4,"államigazgatási",'1.a sz. Önkormányzat 2022. '!$D$2:$MH$2,"Módosított előirányzat")+SUMIFS(D12:DI12,$D$4:$DI$4,"államigazgatási",$D$2:$DI$2,"Módosított előirányzat")</f>
        <v>0</v>
      </c>
      <c r="DS12" s="241">
        <f>SUMIFS('1.a sz. Önkormányzat 2022. '!E12:MI12,'1.a sz. Önkormányzat 2022. '!$D$4:$MH$4,"államigazgatási",'1.a sz. Önkormányzat 2022. '!$D$2:$MH$2,"Módosított előirányzat")+SUMIFS(E12:DJ12,$D$4:$DI$4,"államigazgatási",$D$2:$DI$2,"Módosított előirányzat")</f>
        <v>0</v>
      </c>
      <c r="DT12" s="241">
        <f t="shared" si="1"/>
        <v>2081276868</v>
      </c>
      <c r="DU12" s="694">
        <f>DL12+DO12+DR12</f>
        <v>3109397260</v>
      </c>
      <c r="DV12" s="241">
        <f t="shared" si="2"/>
        <v>1228124001</v>
      </c>
      <c r="DW12" s="383">
        <f>+'1.a sz. Önkormányzat 2022. '!LF12</f>
        <v>0</v>
      </c>
      <c r="DX12" s="383">
        <f>+'1.a sz. Önkormányzat 2022. '!LG12</f>
        <v>0</v>
      </c>
      <c r="DY12" s="383">
        <f>+'1.a sz. Önkormányzat 2022. '!LH12</f>
        <v>0</v>
      </c>
      <c r="DZ12" s="679">
        <f t="shared" si="3"/>
        <v>122208000</v>
      </c>
      <c r="EA12" s="679">
        <f t="shared" si="4"/>
        <v>113989479</v>
      </c>
      <c r="EB12" s="676">
        <f t="shared" si="5"/>
        <v>215713864</v>
      </c>
      <c r="EC12" s="676">
        <f t="shared" si="6"/>
        <v>215513864</v>
      </c>
      <c r="EE12" s="244"/>
    </row>
    <row r="13" spans="1:136" ht="21.75" customHeight="1" x14ac:dyDescent="0.25">
      <c r="A13" s="208" t="s">
        <v>196</v>
      </c>
      <c r="B13" s="218" t="s">
        <v>529</v>
      </c>
      <c r="C13" s="210"/>
      <c r="D13" s="229"/>
      <c r="E13" s="229"/>
      <c r="F13" s="229"/>
      <c r="G13" s="229"/>
      <c r="H13" s="229"/>
      <c r="I13" s="229"/>
      <c r="J13" s="229"/>
      <c r="K13" s="229"/>
      <c r="L13" s="229"/>
      <c r="M13" s="229"/>
      <c r="N13" s="229"/>
      <c r="O13" s="229"/>
      <c r="P13" s="229"/>
      <c r="Q13" s="229"/>
      <c r="R13" s="229"/>
      <c r="S13" s="229"/>
      <c r="T13" s="229"/>
      <c r="U13" s="229"/>
      <c r="V13" s="229"/>
      <c r="W13" s="229"/>
      <c r="X13" s="229"/>
      <c r="Y13" s="258"/>
      <c r="Z13" s="258"/>
      <c r="AA13" s="258"/>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v>34006</v>
      </c>
      <c r="AY13" s="229">
        <v>34006</v>
      </c>
      <c r="AZ13" s="367">
        <f>+'[1]5.sz.Műk.c.pe.átadás'!G32</f>
        <v>7047905</v>
      </c>
      <c r="BA13" s="367">
        <v>7047905</v>
      </c>
      <c r="BB13" s="367">
        <v>7047905</v>
      </c>
      <c r="BC13" s="367">
        <f>+'[1]5.sz.Műk.c.pe.átadás'!G35</f>
        <v>117853492</v>
      </c>
      <c r="BD13" s="367">
        <v>116217201</v>
      </c>
      <c r="BE13" s="367">
        <v>116217201</v>
      </c>
      <c r="BF13" s="747">
        <f>+'[1]5.sz.Műk.c.pe.átadás'!G11+'[1]5.sz.Műk.c.pe.átadás'!G14+'[1]5.sz.Műk.c.pe.átadás'!G12+'[1]5.sz.Műk.c.pe.átadás'!G13+'[1]5.sz.Műk.c.pe.átadás'!G15</f>
        <v>3220000</v>
      </c>
      <c r="BG13" s="747">
        <v>3957452</v>
      </c>
      <c r="BH13" s="747">
        <v>3957452</v>
      </c>
      <c r="BI13" s="258"/>
      <c r="BJ13" s="747">
        <v>5005000</v>
      </c>
      <c r="BK13" s="747">
        <v>5005000</v>
      </c>
      <c r="BL13" s="258"/>
      <c r="BM13" s="747">
        <v>0</v>
      </c>
      <c r="BN13" s="747">
        <v>0</v>
      </c>
      <c r="BO13" s="747">
        <f>+'[1]5.sz.Műk.c.pe.átadás'!G24+'[1]5.sz.Műk.c.pe.átadás'!G23</f>
        <v>2590000</v>
      </c>
      <c r="BP13" s="747">
        <v>14020000</v>
      </c>
      <c r="BQ13" s="747">
        <v>13920000</v>
      </c>
      <c r="BR13" s="258"/>
      <c r="BS13" s="747">
        <v>1770000</v>
      </c>
      <c r="BT13" s="747">
        <v>1770000</v>
      </c>
      <c r="BU13" s="367">
        <f>+'[1]5.sz.Műk.c.pe.átadás'!G17</f>
        <v>3080000</v>
      </c>
      <c r="BV13" s="367">
        <v>3080000</v>
      </c>
      <c r="BW13" s="367">
        <v>3080000</v>
      </c>
      <c r="BX13" s="229"/>
      <c r="BY13" s="367">
        <v>3375000</v>
      </c>
      <c r="BZ13" s="367">
        <v>3375000</v>
      </c>
      <c r="CA13" s="367">
        <f>+'[1]5.sz.Műk.c.pe.átadás'!G19</f>
        <v>79620000</v>
      </c>
      <c r="CB13" s="367">
        <f>79620000+300000+3429000+24003000</f>
        <v>107352000</v>
      </c>
      <c r="CC13" s="367">
        <v>99133479</v>
      </c>
      <c r="CD13" s="367">
        <f>+'[1]5.sz.Műk.c.pe.átadás'!E21</f>
        <v>4000000</v>
      </c>
      <c r="CE13" s="367">
        <v>4000000</v>
      </c>
      <c r="CF13" s="367">
        <v>3900000</v>
      </c>
      <c r="CG13" s="367">
        <f>+'[1]5.sz.Műk.c.pe.átadás'!E44+'[1]5.sz.Műk.c.pe.átadás'!E45+'[1]5.sz.Műk.c.pe.átadás'!E46</f>
        <v>26600000</v>
      </c>
      <c r="CH13" s="367">
        <v>26600000</v>
      </c>
      <c r="CI13" s="367">
        <v>26600000</v>
      </c>
      <c r="CJ13" s="367">
        <f>+'[1]5.sz.Műk.c.pe.átadás'!G8</f>
        <v>25216800</v>
      </c>
      <c r="CK13" s="367">
        <f>25216800+4000000</f>
        <v>29216800</v>
      </c>
      <c r="CL13" s="367">
        <v>29216800</v>
      </c>
      <c r="CM13" s="367">
        <f>+'[1]5.sz.Műk.c.pe.átadás'!G7</f>
        <v>14856000</v>
      </c>
      <c r="CN13" s="367">
        <v>14856000</v>
      </c>
      <c r="CO13" s="367">
        <v>14856000</v>
      </c>
      <c r="CP13" s="229"/>
      <c r="CQ13" s="229"/>
      <c r="CR13" s="229"/>
      <c r="CS13" s="367">
        <f>+'[1]5.sz.Műk.c.pe.átadás'!E28</f>
        <v>210500</v>
      </c>
      <c r="CT13" s="367">
        <v>1390500</v>
      </c>
      <c r="CU13" s="367">
        <v>1390500</v>
      </c>
      <c r="CV13" s="367"/>
      <c r="CW13" s="367"/>
      <c r="CX13" s="367"/>
      <c r="CY13" s="229"/>
      <c r="CZ13" s="229"/>
      <c r="DA13" s="229"/>
      <c r="DB13" s="241"/>
      <c r="DC13" s="241"/>
      <c r="DD13" s="241"/>
      <c r="DE13" s="241"/>
      <c r="DF13" s="241"/>
      <c r="DG13" s="241"/>
      <c r="DH13" s="241"/>
      <c r="DI13" s="241"/>
      <c r="DJ13" s="241"/>
      <c r="DK13" s="241">
        <f>SUMIFS('1.a sz. Önkormányzat 2022. '!D13:MH13,'1.a sz. Önkormányzat 2022. '!$D$4:$MH$4,"kötelező",'1.a sz. Önkormányzat 2022. '!$D$2:$MH$2,"Eredeti előirányzat")+SUMIFS(D13:DI13,$D$4:$DI$4,"kötelező",$D$2:$DI$2,"Eredeti előirányzat")</f>
        <v>96287551</v>
      </c>
      <c r="DL13" s="211">
        <f>+'1.a sz. Önkormányzat 2022. '!MY13+'1.b sz. Önkormányzat 2022.'!DZ13</f>
        <v>122808000</v>
      </c>
      <c r="DM13" s="694">
        <f>+'1.a sz. Önkormányzat 2022. '!MZ13+'1.b sz. Önkormányzat 2022.'!EA13</f>
        <v>114589479</v>
      </c>
      <c r="DN13" s="694">
        <f>SUMIFS('1.a sz. Önkormányzat 2022. '!D13:MM13,'1.a sz. Önkormányzat 2022. '!$D$4:$MM$4,"önként vállalt",'1.a sz. Önkormányzat 2022. '!$D$2:$MM$2,"Eredeti előirányzat")+SUMIFS(D13:DI13,$D$4:$DI$4,"önként vállalt",$D$2:$DI$2,"Eredeti előirányzat")</f>
        <v>189818697</v>
      </c>
      <c r="DO13" s="241">
        <f>+'1.a sz. Önkormányzat 2022. '!NA13+'1.b sz. Önkormányzat 2022.'!EB13</f>
        <v>215713864</v>
      </c>
      <c r="DP13" s="694">
        <f>+'1.a sz. Önkormányzat 2022. '!NB13+'1.b sz. Önkormányzat 2022.'!EC13</f>
        <v>215513864</v>
      </c>
      <c r="DQ13" s="241">
        <f>SUMIFS('1.a sz. Önkormányzat 2022. '!D13:MH13,'1.a sz. Önkormányzat 2022. '!$D$4:$MH$4,"államigazgatási",'1.a sz. Önkormányzat 2022. '!$D$2:$MH$2,"Eredeti előirányzat")+SUMIFS(D13:DI13,$D$4:$DI$4,"államigazgatási",$D$2:$DI$2,"Eredeti előirányzat")</f>
        <v>0</v>
      </c>
      <c r="DR13" s="241">
        <f>SUMIFS('1.a sz. Önkormányzat 2022. '!D13:MH13,'1.a sz. Önkormányzat 2022. '!$D$4:$MH$4,"államigazgatási",'1.a sz. Önkormányzat 2022. '!$D$2:$MH$2,"Módosított előirányzat")+SUMIFS(D13:DI13,$D$4:$DI$4,"államigazgatási",$D$2:$DI$2,"Módosított előirányzat")</f>
        <v>0</v>
      </c>
      <c r="DS13" s="241">
        <f>SUMIFS('1.a sz. Önkormányzat 2022. '!E13:MI13,'1.a sz. Önkormányzat 2022. '!$D$4:$MH$4,"államigazgatási",'1.a sz. Önkormányzat 2022. '!$D$2:$MH$2,"Módosított előirányzat")+SUMIFS(E13:DJ13,$D$4:$DI$4,"államigazgatási",$D$2:$DI$2,"Módosított előirányzat")</f>
        <v>0</v>
      </c>
      <c r="DT13" s="241">
        <f t="shared" si="1"/>
        <v>286106248</v>
      </c>
      <c r="DU13" s="694">
        <f t="shared" si="0"/>
        <v>338521864</v>
      </c>
      <c r="DV13" s="241">
        <f t="shared" si="2"/>
        <v>330103343</v>
      </c>
      <c r="DW13" s="383">
        <f>+'1.a sz. Önkormányzat 2022. '!LF13</f>
        <v>0</v>
      </c>
      <c r="DX13" s="383">
        <f>+'1.a sz. Önkormányzat 2022. '!LG13</f>
        <v>0</v>
      </c>
      <c r="DY13" s="383">
        <f>+'1.a sz. Önkormányzat 2022. '!LH13</f>
        <v>0</v>
      </c>
      <c r="DZ13" s="679">
        <f t="shared" si="3"/>
        <v>122208000</v>
      </c>
      <c r="EA13" s="679">
        <f t="shared" si="4"/>
        <v>113989479</v>
      </c>
      <c r="EB13" s="676">
        <f t="shared" si="5"/>
        <v>215713864</v>
      </c>
      <c r="EC13" s="676">
        <f t="shared" si="6"/>
        <v>215513864</v>
      </c>
      <c r="EE13" s="213"/>
    </row>
    <row r="14" spans="1:136" s="220" customFormat="1" ht="21.75" customHeight="1" x14ac:dyDescent="0.25">
      <c r="A14" s="208" t="s">
        <v>197</v>
      </c>
      <c r="B14" s="218" t="s">
        <v>530</v>
      </c>
      <c r="C14" s="219"/>
      <c r="D14" s="239"/>
      <c r="E14" s="239"/>
      <c r="F14" s="239"/>
      <c r="G14" s="239"/>
      <c r="H14" s="239"/>
      <c r="I14" s="239"/>
      <c r="J14" s="239"/>
      <c r="K14" s="239"/>
      <c r="L14" s="239"/>
      <c r="M14" s="239"/>
      <c r="N14" s="239"/>
      <c r="O14" s="239"/>
      <c r="P14" s="239"/>
      <c r="Q14" s="239"/>
      <c r="R14" s="239"/>
      <c r="S14" s="239"/>
      <c r="T14" s="239"/>
      <c r="U14" s="239"/>
      <c r="V14" s="239"/>
      <c r="W14" s="239"/>
      <c r="X14" s="239"/>
      <c r="Y14" s="260"/>
      <c r="Z14" s="260"/>
      <c r="AA14" s="260"/>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60"/>
      <c r="BG14" s="260"/>
      <c r="BH14" s="260"/>
      <c r="BI14" s="260"/>
      <c r="BJ14" s="260"/>
      <c r="BK14" s="260"/>
      <c r="BL14" s="260"/>
      <c r="BM14" s="260"/>
      <c r="BN14" s="260"/>
      <c r="BO14" s="260"/>
      <c r="BP14" s="260"/>
      <c r="BQ14" s="260"/>
      <c r="BR14" s="260"/>
      <c r="BS14" s="260"/>
      <c r="BT14" s="260"/>
      <c r="BU14" s="239"/>
      <c r="BV14" s="239"/>
      <c r="BW14" s="239"/>
      <c r="BX14" s="239"/>
      <c r="BY14" s="239"/>
      <c r="BZ14" s="239"/>
      <c r="CA14" s="239"/>
      <c r="CB14" s="239"/>
      <c r="CC14" s="239"/>
      <c r="CD14" s="239"/>
      <c r="CE14" s="239"/>
      <c r="CF14" s="239"/>
      <c r="CG14" s="239"/>
      <c r="CH14" s="239"/>
      <c r="CI14" s="239"/>
      <c r="CJ14" s="239"/>
      <c r="CK14" s="239"/>
      <c r="CL14" s="239"/>
      <c r="CM14" s="239"/>
      <c r="CN14" s="239"/>
      <c r="CO14" s="239"/>
      <c r="CP14" s="239"/>
      <c r="CQ14" s="239"/>
      <c r="CR14" s="239"/>
      <c r="CS14" s="239"/>
      <c r="CT14" s="239"/>
      <c r="CU14" s="239"/>
      <c r="CV14" s="239"/>
      <c r="CW14" s="239"/>
      <c r="CX14" s="239"/>
      <c r="CY14" s="239"/>
      <c r="CZ14" s="239"/>
      <c r="DA14" s="239"/>
      <c r="DB14" s="246"/>
      <c r="DC14" s="246"/>
      <c r="DD14" s="246"/>
      <c r="DE14" s="246"/>
      <c r="DF14" s="246"/>
      <c r="DG14" s="246"/>
      <c r="DH14" s="246"/>
      <c r="DI14" s="246"/>
      <c r="DJ14" s="246"/>
      <c r="DK14" s="241">
        <f>SUMIFS('1.a sz. Önkormányzat 2022. '!D14:MH14,'1.a sz. Önkormányzat 2022. '!$D$4:$MH$4,"kötelező",'1.a sz. Önkormányzat 2022. '!$D$2:$MH$2,"Eredeti előirányzat")+SUMIFS(D14:DI14,$D$4:$DI$4,"kötelező",$D$2:$DI$2,"Eredeti előirányzat")</f>
        <v>897149962</v>
      </c>
      <c r="DL14" s="211">
        <f>+'1.a sz. Önkormányzat 2022. '!MY14+'1.b sz. Önkormányzat 2022.'!DZ14</f>
        <v>1872854738</v>
      </c>
      <c r="DM14" s="694">
        <f>+'1.a sz. Önkormányzat 2022. '!MZ14+'1.b sz. Önkormányzat 2022.'!EA14</f>
        <v>0</v>
      </c>
      <c r="DN14" s="694">
        <f>SUMIFS('1.a sz. Önkormányzat 2022. '!D14:MM14,'1.a sz. Önkormányzat 2022. '!$D$4:$MM$4,"önként vállalt",'1.a sz. Önkormányzat 2022. '!$D$2:$MM$2,"Eredeti előirányzat")+SUMIFS(D14:DI14,$D$4:$DI$4,"önként vállalt",$D$2:$DI$2,"Eredeti előirányzat")</f>
        <v>0</v>
      </c>
      <c r="DO14" s="241">
        <f>+'1.a sz. Önkormányzat 2022. '!NA14+'1.b sz. Önkormányzat 2022.'!EB14</f>
        <v>0</v>
      </c>
      <c r="DP14" s="694">
        <f>+'1.a sz. Önkormányzat 2022. '!NB14+'1.b sz. Önkormányzat 2022.'!EC14</f>
        <v>0</v>
      </c>
      <c r="DQ14" s="241">
        <f>SUMIFS('1.a sz. Önkormányzat 2022. '!D14:MH14,'1.a sz. Önkormányzat 2022. '!$D$4:$MH$4,"államigazgatási",'1.a sz. Önkormányzat 2022. '!$D$2:$MH$2,"Eredeti előirányzat")+SUMIFS(D14:DI14,$D$4:$DI$4,"államigazgatási",$D$2:$DI$2,"Eredeti előirányzat")</f>
        <v>0</v>
      </c>
      <c r="DR14" s="241">
        <f>SUMIFS('1.a sz. Önkormányzat 2022. '!D14:MH14,'1.a sz. Önkormányzat 2022. '!$D$4:$MH$4,"államigazgatási",'1.a sz. Önkormányzat 2022. '!$D$2:$MH$2,"Módosított előirányzat")+SUMIFS(D14:DI14,$D$4:$DI$4,"államigazgatási",$D$2:$DI$2,"Módosított előirányzat")</f>
        <v>0</v>
      </c>
      <c r="DS14" s="241">
        <f>SUMIFS('1.a sz. Önkormányzat 2022. '!E14:MI14,'1.a sz. Önkormányzat 2022. '!$D$4:$MH$4,"államigazgatási",'1.a sz. Önkormányzat 2022. '!$D$2:$MH$2,"Módosított előirányzat")+SUMIFS(E14:DJ14,$D$4:$DI$4,"államigazgatási",$D$2:$DI$2,"Módosított előirányzat")</f>
        <v>0</v>
      </c>
      <c r="DT14" s="241">
        <f t="shared" si="1"/>
        <v>897149962</v>
      </c>
      <c r="DU14" s="694">
        <f t="shared" si="0"/>
        <v>1872854738</v>
      </c>
      <c r="DV14" s="241">
        <f t="shared" si="2"/>
        <v>0</v>
      </c>
      <c r="DW14" s="383">
        <f>+'1.a sz. Önkormányzat 2022. '!LF14</f>
        <v>0</v>
      </c>
      <c r="DX14" s="383">
        <f>+'1.a sz. Önkormányzat 2022. '!LG14</f>
        <v>0</v>
      </c>
      <c r="DY14" s="383">
        <f>+'1.a sz. Önkormányzat 2022. '!LH14</f>
        <v>0</v>
      </c>
      <c r="DZ14" s="679">
        <f t="shared" si="3"/>
        <v>0</v>
      </c>
      <c r="EA14" s="679">
        <f t="shared" si="4"/>
        <v>0</v>
      </c>
      <c r="EB14" s="676">
        <f t="shared" si="5"/>
        <v>0</v>
      </c>
      <c r="EC14" s="676">
        <f t="shared" si="6"/>
        <v>0</v>
      </c>
      <c r="EE14" s="213"/>
    </row>
    <row r="15" spans="1:136" s="220" customFormat="1" ht="21.75" customHeight="1" x14ac:dyDescent="0.25">
      <c r="A15" s="208" t="s">
        <v>198</v>
      </c>
      <c r="B15" s="218" t="s">
        <v>531</v>
      </c>
      <c r="C15" s="219"/>
      <c r="D15" s="239"/>
      <c r="E15" s="239"/>
      <c r="F15" s="239"/>
      <c r="G15" s="239"/>
      <c r="H15" s="239"/>
      <c r="I15" s="239"/>
      <c r="J15" s="239"/>
      <c r="K15" s="239"/>
      <c r="L15" s="239"/>
      <c r="M15" s="239"/>
      <c r="N15" s="239"/>
      <c r="O15" s="239"/>
      <c r="P15" s="239"/>
      <c r="Q15" s="239"/>
      <c r="R15" s="239"/>
      <c r="S15" s="239"/>
      <c r="T15" s="239"/>
      <c r="U15" s="239"/>
      <c r="V15" s="239"/>
      <c r="W15" s="239"/>
      <c r="X15" s="239"/>
      <c r="Y15" s="260"/>
      <c r="Z15" s="260"/>
      <c r="AA15" s="260"/>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60"/>
      <c r="BG15" s="260"/>
      <c r="BH15" s="260"/>
      <c r="BI15" s="260"/>
      <c r="BJ15" s="260"/>
      <c r="BK15" s="260"/>
      <c r="BL15" s="260"/>
      <c r="BM15" s="260"/>
      <c r="BN15" s="260"/>
      <c r="BO15" s="260"/>
      <c r="BP15" s="260"/>
      <c r="BQ15" s="260"/>
      <c r="BR15" s="260"/>
      <c r="BS15" s="260"/>
      <c r="BT15" s="260"/>
      <c r="BU15" s="239"/>
      <c r="BV15" s="239"/>
      <c r="BW15" s="239"/>
      <c r="BX15" s="239"/>
      <c r="BY15" s="239"/>
      <c r="BZ15" s="239"/>
      <c r="CA15" s="239"/>
      <c r="CB15" s="239"/>
      <c r="CC15" s="239"/>
      <c r="CD15" s="239"/>
      <c r="CE15" s="239"/>
      <c r="CF15" s="239"/>
      <c r="CG15" s="239"/>
      <c r="CH15" s="239"/>
      <c r="CI15" s="239"/>
      <c r="CJ15" s="239"/>
      <c r="CK15" s="239"/>
      <c r="CL15" s="239"/>
      <c r="CM15" s="239"/>
      <c r="CN15" s="239"/>
      <c r="CO15" s="239"/>
      <c r="CP15" s="239"/>
      <c r="CQ15" s="239"/>
      <c r="CR15" s="239"/>
      <c r="CS15" s="239"/>
      <c r="CT15" s="239"/>
      <c r="CU15" s="239"/>
      <c r="CV15" s="239"/>
      <c r="CW15" s="239"/>
      <c r="CX15" s="239"/>
      <c r="CY15" s="239"/>
      <c r="CZ15" s="239"/>
      <c r="DA15" s="239"/>
      <c r="DB15" s="246"/>
      <c r="DC15" s="246"/>
      <c r="DD15" s="246"/>
      <c r="DE15" s="240"/>
      <c r="DF15" s="240"/>
      <c r="DG15" s="240"/>
      <c r="DH15" s="240"/>
      <c r="DI15" s="240"/>
      <c r="DJ15" s="240"/>
      <c r="DK15" s="241">
        <f>SUMIFS('1.a sz. Önkormányzat 2022. '!D15:MH15,'1.a sz. Önkormányzat 2022. '!$D$4:$MH$4,"kötelező",'1.a sz. Önkormányzat 2022. '!$D$2:$MH$2,"Eredeti előirányzat")+SUMIFS(D15:DI15,$D$4:$DI$4,"kötelező",$D$2:$DI$2,"Eredeti előirányzat")</f>
        <v>898020658</v>
      </c>
      <c r="DL15" s="211">
        <f>+'1.a sz. Önkormányzat 2022. '!MY15+'1.b sz. Önkormányzat 2022.'!DZ15</f>
        <v>898020658</v>
      </c>
      <c r="DM15" s="694">
        <f>+'1.a sz. Önkormányzat 2022. '!MZ15+'1.b sz. Önkormányzat 2022.'!EA15</f>
        <v>898020658</v>
      </c>
      <c r="DN15" s="694">
        <f>SUMIFS('1.a sz. Önkormányzat 2022. '!D15:MM15,'1.a sz. Önkormányzat 2022. '!$D$4:$MM$4,"önként vállalt",'1.a sz. Önkormányzat 2022. '!$D$2:$MM$2,"Eredeti előirányzat")+SUMIFS(D15:DI15,$D$4:$DI$4,"önként vállalt",$D$2:$DI$2,"Eredeti előirányzat")</f>
        <v>0</v>
      </c>
      <c r="DO15" s="241">
        <f>+'1.a sz. Önkormányzat 2022. '!NA15+'1.b sz. Önkormányzat 2022.'!EB15</f>
        <v>0</v>
      </c>
      <c r="DP15" s="694">
        <f>+'1.a sz. Önkormányzat 2022. '!NB15+'1.b sz. Önkormányzat 2022.'!EC15</f>
        <v>0</v>
      </c>
      <c r="DQ15" s="241">
        <f>SUMIFS('1.a sz. Önkormányzat 2022. '!D15:MH15,'1.a sz. Önkormányzat 2022. '!$D$4:$MH$4,"államigazgatási",'1.a sz. Önkormányzat 2022. '!$D$2:$MH$2,"Eredeti előirányzat")+SUMIFS(D15:DI15,$D$4:$DI$4,"államigazgatási",$D$2:$DI$2,"Eredeti előirányzat")</f>
        <v>0</v>
      </c>
      <c r="DR15" s="241">
        <f>SUMIFS('1.a sz. Önkormányzat 2022. '!D15:MH15,'1.a sz. Önkormányzat 2022. '!$D$4:$MH$4,"államigazgatási",'1.a sz. Önkormányzat 2022. '!$D$2:$MH$2,"Módosított előirányzat")+SUMIFS(D15:DI15,$D$4:$DI$4,"államigazgatási",$D$2:$DI$2,"Módosított előirányzat")</f>
        <v>0</v>
      </c>
      <c r="DS15" s="241">
        <f>SUMIFS('1.a sz. Önkormányzat 2022. '!E15:MI15,'1.a sz. Önkormányzat 2022. '!$D$4:$MH$4,"államigazgatási",'1.a sz. Önkormányzat 2022. '!$D$2:$MH$2,"Módosított előirányzat")+SUMIFS(E15:DJ15,$D$4:$DI$4,"államigazgatási",$D$2:$DI$2,"Módosított előirányzat")</f>
        <v>0</v>
      </c>
      <c r="DT15" s="241">
        <f t="shared" si="1"/>
        <v>898020658</v>
      </c>
      <c r="DU15" s="694">
        <f t="shared" si="0"/>
        <v>898020658</v>
      </c>
      <c r="DV15" s="241">
        <f t="shared" si="2"/>
        <v>898020658</v>
      </c>
      <c r="DW15" s="383">
        <f>+'1.a sz. Önkormányzat 2022. '!LF15</f>
        <v>0</v>
      </c>
      <c r="DX15" s="383">
        <f>+'1.a sz. Önkormányzat 2022. '!LG15</f>
        <v>0</v>
      </c>
      <c r="DY15" s="383">
        <f>+'1.a sz. Önkormányzat 2022. '!LH15</f>
        <v>0</v>
      </c>
      <c r="DZ15" s="679">
        <f t="shared" si="3"/>
        <v>0</v>
      </c>
      <c r="EA15" s="679">
        <f t="shared" si="4"/>
        <v>0</v>
      </c>
      <c r="EB15" s="676">
        <f t="shared" si="5"/>
        <v>0</v>
      </c>
      <c r="EC15" s="676">
        <f t="shared" si="6"/>
        <v>0</v>
      </c>
      <c r="EE15" s="213"/>
    </row>
    <row r="16" spans="1:136" s="674" customFormat="1" ht="21.75" customHeight="1" x14ac:dyDescent="0.25">
      <c r="A16" s="826" t="s">
        <v>199</v>
      </c>
      <c r="B16" s="825" t="s">
        <v>244</v>
      </c>
      <c r="C16" s="750" t="s">
        <v>208</v>
      </c>
      <c r="D16" s="671"/>
      <c r="E16" s="671"/>
      <c r="F16" s="671"/>
      <c r="G16" s="671"/>
      <c r="H16" s="671"/>
      <c r="I16" s="671"/>
      <c r="J16" s="671"/>
      <c r="K16" s="671"/>
      <c r="L16" s="671"/>
      <c r="M16" s="671"/>
      <c r="N16" s="671"/>
      <c r="O16" s="671"/>
      <c r="P16" s="671"/>
      <c r="Q16" s="671"/>
      <c r="R16" s="671"/>
      <c r="S16" s="671"/>
      <c r="T16" s="671"/>
      <c r="U16" s="671"/>
      <c r="V16" s="671"/>
      <c r="W16" s="671"/>
      <c r="X16" s="671"/>
      <c r="Y16" s="672"/>
      <c r="Z16" s="672"/>
      <c r="AA16" s="672"/>
      <c r="AB16" s="671"/>
      <c r="AC16" s="671"/>
      <c r="AD16" s="671"/>
      <c r="AE16" s="671"/>
      <c r="AF16" s="671"/>
      <c r="AG16" s="671"/>
      <c r="AH16" s="671"/>
      <c r="AI16" s="671"/>
      <c r="AJ16" s="671"/>
      <c r="AK16" s="671"/>
      <c r="AL16" s="671"/>
      <c r="AM16" s="671"/>
      <c r="AN16" s="671"/>
      <c r="AO16" s="671"/>
      <c r="AP16" s="671"/>
      <c r="AQ16" s="671"/>
      <c r="AR16" s="671"/>
      <c r="AS16" s="671"/>
      <c r="AT16" s="671"/>
      <c r="AU16" s="671"/>
      <c r="AV16" s="671"/>
      <c r="AW16" s="671"/>
      <c r="AX16" s="671"/>
      <c r="AY16" s="671"/>
      <c r="AZ16" s="671"/>
      <c r="BA16" s="671"/>
      <c r="BB16" s="671"/>
      <c r="BC16" s="671"/>
      <c r="BD16" s="671"/>
      <c r="BE16" s="671"/>
      <c r="BF16" s="672"/>
      <c r="BG16" s="672"/>
      <c r="BH16" s="672"/>
      <c r="BI16" s="672"/>
      <c r="BJ16" s="672"/>
      <c r="BK16" s="672"/>
      <c r="BL16" s="672"/>
      <c r="BM16" s="672"/>
      <c r="BN16" s="672"/>
      <c r="BO16" s="672"/>
      <c r="BP16" s="672"/>
      <c r="BQ16" s="672"/>
      <c r="BR16" s="672"/>
      <c r="BS16" s="672"/>
      <c r="BT16" s="672"/>
      <c r="BU16" s="671"/>
      <c r="BV16" s="671"/>
      <c r="BW16" s="671"/>
      <c r="BX16" s="671"/>
      <c r="BY16" s="671"/>
      <c r="BZ16" s="671"/>
      <c r="CA16" s="751">
        <v>3000000</v>
      </c>
      <c r="CB16" s="751">
        <v>3000000</v>
      </c>
      <c r="CC16" s="751">
        <v>3000000</v>
      </c>
      <c r="CD16" s="671"/>
      <c r="CE16" s="671"/>
      <c r="CF16" s="671"/>
      <c r="CG16" s="671"/>
      <c r="CH16" s="671"/>
      <c r="CI16" s="671"/>
      <c r="CJ16" s="671"/>
      <c r="CK16" s="671"/>
      <c r="CL16" s="671"/>
      <c r="CM16" s="671"/>
      <c r="CN16" s="671"/>
      <c r="CO16" s="671"/>
      <c r="CP16" s="671"/>
      <c r="CQ16" s="671"/>
      <c r="CR16" s="671"/>
      <c r="CS16" s="671"/>
      <c r="CT16" s="671"/>
      <c r="CU16" s="671"/>
      <c r="CV16" s="671"/>
      <c r="CW16" s="671"/>
      <c r="CX16" s="671"/>
      <c r="CY16" s="671"/>
      <c r="CZ16" s="671"/>
      <c r="DA16" s="671"/>
      <c r="DB16" s="673"/>
      <c r="DC16" s="673"/>
      <c r="DD16" s="673"/>
      <c r="DE16" s="673"/>
      <c r="DF16" s="673"/>
      <c r="DG16" s="673"/>
      <c r="DH16" s="673"/>
      <c r="DI16" s="673"/>
      <c r="DJ16" s="673"/>
      <c r="DK16" s="678">
        <f>SUMIFS('1.a sz. Önkormányzat 2022. '!D16:MH16,'1.a sz. Önkormányzat 2022. '!$D$4:$MH$4,"kötelező",'1.a sz. Önkormányzat 2022. '!$D$2:$MH$2,"Eredeti előirányzat")+SUMIFS(D16:DI16,$D$4:$DI$4,"kötelező",$D$2:$DI$2,"Eredeti előirányzat")</f>
        <v>1221123458</v>
      </c>
      <c r="DL16" s="211">
        <f>+'1.a sz. Önkormányzat 2022. '!MY16+'1.b sz. Önkormányzat 2022.'!DZ16</f>
        <v>1449842167</v>
      </c>
      <c r="DM16" s="694">
        <f>+'1.a sz. Önkormányzat 2022. '!MZ16+'1.b sz. Önkormányzat 2022.'!EA16</f>
        <v>546355895</v>
      </c>
      <c r="DN16" s="694">
        <f>SUMIFS('1.a sz. Önkormányzat 2022. '!D16:MM16,'1.a sz. Önkormányzat 2022. '!$D$4:$MM$4,"önként vállalt",'1.a sz. Önkormányzat 2022. '!$D$2:$MM$2,"Eredeti előirányzat")+SUMIFS(D16:DI16,$D$4:$DI$4,"önként vállalt",$D$2:$DI$2,"Eredeti előirányzat")</f>
        <v>552466077</v>
      </c>
      <c r="DO16" s="211">
        <f>+'1.a sz. Önkormányzat 2022. '!NA16+'1.b sz. Önkormányzat 2022.'!EB16</f>
        <v>513944745</v>
      </c>
      <c r="DP16" s="694">
        <f>+'1.a sz. Önkormányzat 2022. '!NB16+'1.b sz. Önkormányzat 2022.'!EC16</f>
        <v>416868562</v>
      </c>
      <c r="DQ16" s="670">
        <f>SUMIFS('1.a sz. Önkormányzat 2022. '!D16:MH16,'1.a sz. Önkormányzat 2022. '!$D$4:$MH$4,"államigazgatási",'1.a sz. Önkormányzat 2022. '!$D$2:$MH$2,"Eredeti előirányzat")+SUMIFS(D16:DI16,$D$4:$DI$4,"államigazgatási",$D$2:$DI$2,"Eredeti előirányzat")</f>
        <v>0</v>
      </c>
      <c r="DR16" s="670">
        <f>SUMIFS('1.a sz. Önkormányzat 2022. '!D16:MH16,'1.a sz. Önkormányzat 2022. '!$D$4:$MH$4,"államigazgatási",'1.a sz. Önkormányzat 2022. '!$D$2:$MH$2,"Módosított előirányzat")+SUMIFS(D16:DI16,$D$4:$DI$4,"államigazgatási",$D$2:$DI$2,"Módosított előirányzat")</f>
        <v>0</v>
      </c>
      <c r="DS16" s="670">
        <f>SUMIFS('1.a sz. Önkormányzat 2022. '!E16:MI16,'1.a sz. Önkormányzat 2022. '!$D$4:$MH$4,"államigazgatási",'1.a sz. Önkormányzat 2022. '!$D$2:$MH$2,"Módosított előirányzat")+SUMIFS(E16:DJ16,$D$4:$DI$4,"államigazgatási",$D$2:$DI$2,"Módosított előirányzat")</f>
        <v>0</v>
      </c>
      <c r="DT16" s="678">
        <f>DK16+DN16+DQ16</f>
        <v>1773589535</v>
      </c>
      <c r="DU16" s="694">
        <f>DL16+DO16+DR16</f>
        <v>1963786912</v>
      </c>
      <c r="DV16" s="695">
        <f t="shared" si="2"/>
        <v>963224457</v>
      </c>
      <c r="DW16" s="383">
        <f>+'1.a sz. Önkormányzat 2022. '!LF16</f>
        <v>7499350</v>
      </c>
      <c r="DX16" s="383">
        <f>+'1.a sz. Önkormányzat 2022. '!LG16</f>
        <v>41418264</v>
      </c>
      <c r="DY16" s="383">
        <f>+'1.a sz. Önkormányzat 2022. '!LH16</f>
        <v>6604000</v>
      </c>
      <c r="DZ16" s="679">
        <f t="shared" si="3"/>
        <v>3000000</v>
      </c>
      <c r="EA16" s="679">
        <f t="shared" si="4"/>
        <v>3000000</v>
      </c>
      <c r="EB16" s="676">
        <f t="shared" si="5"/>
        <v>0</v>
      </c>
      <c r="EC16" s="676">
        <f t="shared" si="6"/>
        <v>0</v>
      </c>
      <c r="ED16" s="674">
        <v>1335639616</v>
      </c>
      <c r="EE16" s="675" t="e">
        <f>+ED16-#REF!</f>
        <v>#REF!</v>
      </c>
      <c r="EF16" s="677">
        <f>+EA16+'1.a sz. Önkormányzat 2022. '!NB16+'1.a sz. Önkormányzat 2022. '!MZ16</f>
        <v>963224457</v>
      </c>
    </row>
    <row r="17" spans="1:137" s="215" customFormat="1" ht="21.75" customHeight="1" x14ac:dyDescent="0.25">
      <c r="A17" s="208" t="s">
        <v>200</v>
      </c>
      <c r="B17" s="217" t="s">
        <v>333</v>
      </c>
      <c r="C17" s="210" t="s">
        <v>209</v>
      </c>
      <c r="D17" s="229"/>
      <c r="E17" s="229"/>
      <c r="F17" s="229"/>
      <c r="G17" s="229"/>
      <c r="H17" s="229"/>
      <c r="I17" s="229"/>
      <c r="J17" s="229"/>
      <c r="K17" s="229"/>
      <c r="L17" s="229"/>
      <c r="M17" s="229"/>
      <c r="N17" s="229"/>
      <c r="O17" s="229"/>
      <c r="P17" s="229"/>
      <c r="Q17" s="229"/>
      <c r="R17" s="229"/>
      <c r="S17" s="229"/>
      <c r="T17" s="229"/>
      <c r="U17" s="229"/>
      <c r="V17" s="229"/>
      <c r="W17" s="229"/>
      <c r="X17" s="229"/>
      <c r="Y17" s="258"/>
      <c r="Z17" s="258"/>
      <c r="AA17" s="258"/>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58"/>
      <c r="BG17" s="258"/>
      <c r="BH17" s="258"/>
      <c r="BI17" s="258"/>
      <c r="BJ17" s="258"/>
      <c r="BK17" s="258"/>
      <c r="BL17" s="258"/>
      <c r="BM17" s="258"/>
      <c r="BN17" s="258"/>
      <c r="BO17" s="258"/>
      <c r="BP17" s="258"/>
      <c r="BQ17" s="258"/>
      <c r="BR17" s="258"/>
      <c r="BS17" s="258"/>
      <c r="BT17" s="258"/>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40"/>
      <c r="DC17" s="240"/>
      <c r="DD17" s="240"/>
      <c r="DE17" s="240"/>
      <c r="DF17" s="240"/>
      <c r="DG17" s="240"/>
      <c r="DH17" s="240"/>
      <c r="DI17" s="240"/>
      <c r="DJ17" s="240"/>
      <c r="DK17" s="241">
        <f>SUMIFS('1.a sz. Önkormányzat 2022. '!D17:MH17,'1.a sz. Önkormányzat 2022. '!$D$4:$MH$4,"kötelező",'1.a sz. Önkormányzat 2022. '!$D$2:$MH$2,"Eredeti előirányzat")+SUMIFS(D17:DI17,$D$4:$DI$4,"kötelező",$D$2:$DI$2,"Eredeti előirányzat")</f>
        <v>227236267</v>
      </c>
      <c r="DL17" s="211">
        <f>+'1.a sz. Önkormányzat 2022. '!MY17+'1.b sz. Önkormányzat 2022.'!DZ17</f>
        <v>174757458</v>
      </c>
      <c r="DM17" s="694">
        <f>+'1.a sz. Önkormányzat 2022. '!MZ17+'1.b sz. Önkormányzat 2022.'!EA17</f>
        <v>130277202</v>
      </c>
      <c r="DN17" s="694">
        <f>SUMIFS('1.a sz. Önkormányzat 2022. '!D17:MM17,'1.a sz. Önkormányzat 2022. '!$D$4:$MM$4,"önként vállalt",'1.a sz. Önkormányzat 2022. '!$D$2:$MM$2,"Eredeti előirányzat")+SUMIFS(D17:DI17,$D$4:$DI$4,"önként vállalt",$D$2:$DI$2,"Eredeti előirányzat")</f>
        <v>0</v>
      </c>
      <c r="DO17" s="241">
        <f>+'1.a sz. Önkormányzat 2022. '!NA17+'1.b sz. Önkormányzat 2022.'!EB17</f>
        <v>0</v>
      </c>
      <c r="DP17" s="694">
        <f>+'1.a sz. Önkormányzat 2022. '!NB17+'1.b sz. Önkormányzat 2022.'!EC17</f>
        <v>0</v>
      </c>
      <c r="DQ17" s="241">
        <f>SUMIFS('1.a sz. Önkormányzat 2022. '!D17:MH17,'1.a sz. Önkormányzat 2022. '!$D$4:$MH$4,"államigazgatási",'1.a sz. Önkormányzat 2022. '!$D$2:$MH$2,"Eredeti előirányzat")+SUMIFS(D17:DI17,$D$4:$DI$4,"államigazgatási",$D$2:$DI$2,"Eredeti előirányzat")</f>
        <v>0</v>
      </c>
      <c r="DR17" s="241">
        <f>SUMIFS('1.a sz. Önkormányzat 2022. '!D17:MH17,'1.a sz. Önkormányzat 2022. '!$D$4:$MH$4,"államigazgatási",'1.a sz. Önkormányzat 2022. '!$D$2:$MH$2,"Módosított előirányzat")+SUMIFS(D17:DI17,$D$4:$DI$4,"államigazgatási",$D$2:$DI$2,"Módosított előirányzat")</f>
        <v>0</v>
      </c>
      <c r="DS17" s="241">
        <f>SUMIFS('1.a sz. Önkormányzat 2022. '!E17:MI17,'1.a sz. Önkormányzat 2022. '!$D$4:$MH$4,"államigazgatási",'1.a sz. Önkormányzat 2022. '!$D$2:$MH$2,"Módosított előirányzat")+SUMIFS(E17:DJ17,$D$4:$DI$4,"államigazgatási",$D$2:$DI$2,"Módosított előirányzat")</f>
        <v>0</v>
      </c>
      <c r="DT17" s="241">
        <f t="shared" si="1"/>
        <v>227236267</v>
      </c>
      <c r="DU17" s="241">
        <f t="shared" ref="DU17:DU49" si="9">DL17+DO17+DR17</f>
        <v>174757458</v>
      </c>
      <c r="DV17" s="211">
        <f t="shared" si="2"/>
        <v>130277202</v>
      </c>
      <c r="DW17" s="383">
        <f>+'1.a sz. Önkormányzat 2022. '!LF17</f>
        <v>0</v>
      </c>
      <c r="DX17" s="383">
        <f>+'1.a sz. Önkormányzat 2022. '!LG17</f>
        <v>0</v>
      </c>
      <c r="DY17" s="383">
        <f>+'1.a sz. Önkormányzat 2022. '!LH17</f>
        <v>0</v>
      </c>
      <c r="DZ17" s="679">
        <f t="shared" si="3"/>
        <v>0</v>
      </c>
      <c r="EA17" s="679">
        <f t="shared" si="4"/>
        <v>0</v>
      </c>
      <c r="EB17" s="676">
        <f t="shared" si="5"/>
        <v>0</v>
      </c>
      <c r="EC17" s="676">
        <f t="shared" si="6"/>
        <v>0</v>
      </c>
      <c r="ED17" s="215">
        <v>475600396</v>
      </c>
      <c r="EE17" s="213" t="e">
        <f>+ED17-#REF!</f>
        <v>#REF!</v>
      </c>
    </row>
    <row r="18" spans="1:137" ht="21.75" customHeight="1" x14ac:dyDescent="0.25">
      <c r="A18" s="208" t="s">
        <v>201</v>
      </c>
      <c r="B18" s="217" t="s">
        <v>238</v>
      </c>
      <c r="C18" s="210" t="s">
        <v>210</v>
      </c>
      <c r="D18" s="229">
        <f t="shared" ref="D18:DC18" si="10">+D19</f>
        <v>0</v>
      </c>
      <c r="E18" s="229">
        <f t="shared" si="10"/>
        <v>0</v>
      </c>
      <c r="F18" s="229">
        <f t="shared" si="10"/>
        <v>0</v>
      </c>
      <c r="G18" s="229">
        <f t="shared" si="10"/>
        <v>0</v>
      </c>
      <c r="H18" s="229">
        <f t="shared" si="10"/>
        <v>0</v>
      </c>
      <c r="I18" s="229">
        <f t="shared" si="10"/>
        <v>0</v>
      </c>
      <c r="J18" s="229">
        <f t="shared" si="10"/>
        <v>0</v>
      </c>
      <c r="K18" s="229">
        <f t="shared" si="10"/>
        <v>0</v>
      </c>
      <c r="L18" s="229">
        <f t="shared" si="10"/>
        <v>0</v>
      </c>
      <c r="M18" s="229">
        <f t="shared" si="10"/>
        <v>0</v>
      </c>
      <c r="N18" s="229">
        <f t="shared" si="10"/>
        <v>0</v>
      </c>
      <c r="O18" s="229">
        <f t="shared" si="10"/>
        <v>0</v>
      </c>
      <c r="P18" s="229">
        <f t="shared" si="10"/>
        <v>0</v>
      </c>
      <c r="Q18" s="229">
        <f t="shared" si="10"/>
        <v>0</v>
      </c>
      <c r="R18" s="229">
        <f t="shared" si="10"/>
        <v>0</v>
      </c>
      <c r="S18" s="229">
        <f t="shared" si="10"/>
        <v>0</v>
      </c>
      <c r="T18" s="229">
        <f t="shared" si="10"/>
        <v>0</v>
      </c>
      <c r="U18" s="229">
        <f t="shared" si="10"/>
        <v>0</v>
      </c>
      <c r="V18" s="229">
        <f t="shared" si="10"/>
        <v>0</v>
      </c>
      <c r="W18" s="229">
        <f t="shared" si="10"/>
        <v>0</v>
      </c>
      <c r="X18" s="229">
        <f t="shared" si="10"/>
        <v>0</v>
      </c>
      <c r="Y18" s="229">
        <f t="shared" si="10"/>
        <v>0</v>
      </c>
      <c r="Z18" s="229">
        <f t="shared" si="10"/>
        <v>0</v>
      </c>
      <c r="AA18" s="229">
        <f t="shared" si="10"/>
        <v>0</v>
      </c>
      <c r="AB18" s="229">
        <f t="shared" si="10"/>
        <v>0</v>
      </c>
      <c r="AC18" s="229">
        <f t="shared" si="10"/>
        <v>0</v>
      </c>
      <c r="AD18" s="229">
        <f t="shared" si="10"/>
        <v>0</v>
      </c>
      <c r="AE18" s="229">
        <f t="shared" si="10"/>
        <v>0</v>
      </c>
      <c r="AF18" s="229">
        <f t="shared" si="10"/>
        <v>0</v>
      </c>
      <c r="AG18" s="229">
        <f t="shared" si="10"/>
        <v>0</v>
      </c>
      <c r="AH18" s="229">
        <f t="shared" si="10"/>
        <v>0</v>
      </c>
      <c r="AI18" s="229">
        <f t="shared" si="10"/>
        <v>0</v>
      </c>
      <c r="AJ18" s="229">
        <f t="shared" si="10"/>
        <v>0</v>
      </c>
      <c r="AK18" s="229">
        <f t="shared" si="10"/>
        <v>0</v>
      </c>
      <c r="AL18" s="229">
        <f t="shared" si="10"/>
        <v>0</v>
      </c>
      <c r="AM18" s="229">
        <f t="shared" si="10"/>
        <v>0</v>
      </c>
      <c r="AN18" s="229">
        <f t="shared" si="10"/>
        <v>0</v>
      </c>
      <c r="AO18" s="229">
        <f t="shared" si="10"/>
        <v>0</v>
      </c>
      <c r="AP18" s="229">
        <f t="shared" si="10"/>
        <v>0</v>
      </c>
      <c r="AQ18" s="229">
        <f t="shared" si="10"/>
        <v>6500000</v>
      </c>
      <c r="AR18" s="229">
        <f t="shared" si="10"/>
        <v>1161940</v>
      </c>
      <c r="AS18" s="229">
        <f t="shared" si="10"/>
        <v>1033200</v>
      </c>
      <c r="AT18" s="229">
        <f t="shared" si="10"/>
        <v>4000000</v>
      </c>
      <c r="AU18" s="229">
        <f t="shared" si="10"/>
        <v>4000000</v>
      </c>
      <c r="AV18" s="229">
        <f t="shared" si="10"/>
        <v>0</v>
      </c>
      <c r="AW18" s="229">
        <f t="shared" si="10"/>
        <v>0</v>
      </c>
      <c r="AX18" s="229">
        <f t="shared" si="10"/>
        <v>65994</v>
      </c>
      <c r="AY18" s="229">
        <f t="shared" si="10"/>
        <v>65994</v>
      </c>
      <c r="AZ18" s="229">
        <f t="shared" si="10"/>
        <v>0</v>
      </c>
      <c r="BA18" s="229">
        <f t="shared" si="10"/>
        <v>0</v>
      </c>
      <c r="BB18" s="229">
        <f t="shared" si="10"/>
        <v>0</v>
      </c>
      <c r="BC18" s="229">
        <f t="shared" si="10"/>
        <v>0</v>
      </c>
      <c r="BD18" s="229">
        <f t="shared" si="10"/>
        <v>1636291</v>
      </c>
      <c r="BE18" s="229">
        <f t="shared" si="10"/>
        <v>1636291</v>
      </c>
      <c r="BF18" s="258">
        <f t="shared" si="10"/>
        <v>0</v>
      </c>
      <c r="BG18" s="258">
        <f t="shared" si="10"/>
        <v>960000</v>
      </c>
      <c r="BH18" s="258">
        <f t="shared" si="10"/>
        <v>960000</v>
      </c>
      <c r="BI18" s="258">
        <f t="shared" si="10"/>
        <v>0</v>
      </c>
      <c r="BJ18" s="258">
        <f t="shared" si="10"/>
        <v>0</v>
      </c>
      <c r="BK18" s="258">
        <f t="shared" si="10"/>
        <v>0</v>
      </c>
      <c r="BL18" s="258">
        <f t="shared" si="10"/>
        <v>0</v>
      </c>
      <c r="BM18" s="258">
        <f t="shared" si="10"/>
        <v>0</v>
      </c>
      <c r="BN18" s="258">
        <f t="shared" si="10"/>
        <v>0</v>
      </c>
      <c r="BO18" s="258">
        <f t="shared" si="10"/>
        <v>0</v>
      </c>
      <c r="BP18" s="258">
        <f t="shared" si="10"/>
        <v>0</v>
      </c>
      <c r="BQ18" s="258">
        <f t="shared" si="10"/>
        <v>0</v>
      </c>
      <c r="BR18" s="258">
        <f t="shared" si="10"/>
        <v>0</v>
      </c>
      <c r="BS18" s="258">
        <f t="shared" si="10"/>
        <v>0</v>
      </c>
      <c r="BT18" s="258">
        <f t="shared" si="10"/>
        <v>0</v>
      </c>
      <c r="BU18" s="229">
        <f t="shared" si="10"/>
        <v>1320000</v>
      </c>
      <c r="BV18" s="229">
        <f t="shared" si="10"/>
        <v>1320000</v>
      </c>
      <c r="BW18" s="229">
        <f t="shared" si="10"/>
        <v>1320000</v>
      </c>
      <c r="BX18" s="229">
        <f t="shared" si="10"/>
        <v>0</v>
      </c>
      <c r="BY18" s="229">
        <f t="shared" si="10"/>
        <v>0</v>
      </c>
      <c r="BZ18" s="229">
        <f t="shared" si="10"/>
        <v>0</v>
      </c>
      <c r="CA18" s="229">
        <f t="shared" si="10"/>
        <v>0</v>
      </c>
      <c r="CB18" s="229">
        <f t="shared" si="10"/>
        <v>0</v>
      </c>
      <c r="CC18" s="229">
        <f t="shared" si="10"/>
        <v>0</v>
      </c>
      <c r="CD18" s="229">
        <f t="shared" si="10"/>
        <v>0</v>
      </c>
      <c r="CE18" s="229">
        <f t="shared" si="10"/>
        <v>0</v>
      </c>
      <c r="CF18" s="229">
        <f t="shared" si="10"/>
        <v>0</v>
      </c>
      <c r="CG18" s="229">
        <f t="shared" si="10"/>
        <v>0</v>
      </c>
      <c r="CH18" s="229">
        <f t="shared" si="10"/>
        <v>0</v>
      </c>
      <c r="CI18" s="229">
        <f t="shared" si="10"/>
        <v>0</v>
      </c>
      <c r="CJ18" s="229">
        <f t="shared" si="10"/>
        <v>0</v>
      </c>
      <c r="CK18" s="229">
        <f t="shared" si="10"/>
        <v>0</v>
      </c>
      <c r="CL18" s="229">
        <f t="shared" si="10"/>
        <v>0</v>
      </c>
      <c r="CM18" s="229">
        <f t="shared" si="10"/>
        <v>0</v>
      </c>
      <c r="CN18" s="229">
        <f t="shared" si="10"/>
        <v>0</v>
      </c>
      <c r="CO18" s="229">
        <f t="shared" si="10"/>
        <v>0</v>
      </c>
      <c r="CP18" s="229">
        <f t="shared" si="10"/>
        <v>0</v>
      </c>
      <c r="CQ18" s="229">
        <f t="shared" si="10"/>
        <v>0</v>
      </c>
      <c r="CR18" s="229">
        <f t="shared" si="10"/>
        <v>0</v>
      </c>
      <c r="CS18" s="229">
        <f t="shared" si="10"/>
        <v>0</v>
      </c>
      <c r="CT18" s="229">
        <f t="shared" si="10"/>
        <v>2570000</v>
      </c>
      <c r="CU18" s="229">
        <f t="shared" si="10"/>
        <v>1570000</v>
      </c>
      <c r="CV18" s="229">
        <f t="shared" si="10"/>
        <v>0</v>
      </c>
      <c r="CW18" s="229">
        <f t="shared" si="10"/>
        <v>1554735</v>
      </c>
      <c r="CX18" s="229">
        <f t="shared" si="10"/>
        <v>1554735</v>
      </c>
      <c r="CY18" s="229">
        <f t="shared" si="10"/>
        <v>0</v>
      </c>
      <c r="CZ18" s="229">
        <f t="shared" si="10"/>
        <v>0</v>
      </c>
      <c r="DA18" s="229">
        <f t="shared" si="10"/>
        <v>0</v>
      </c>
      <c r="DB18" s="229">
        <f t="shared" si="10"/>
        <v>0</v>
      </c>
      <c r="DC18" s="229">
        <f t="shared" si="10"/>
        <v>0</v>
      </c>
      <c r="DD18" s="229">
        <f t="shared" ref="DD18:DJ18" si="11">+DD19</f>
        <v>0</v>
      </c>
      <c r="DE18" s="229">
        <f t="shared" si="11"/>
        <v>0</v>
      </c>
      <c r="DF18" s="229">
        <f t="shared" si="11"/>
        <v>0</v>
      </c>
      <c r="DG18" s="229">
        <f t="shared" si="11"/>
        <v>0</v>
      </c>
      <c r="DH18" s="229">
        <f t="shared" si="11"/>
        <v>0</v>
      </c>
      <c r="DI18" s="229">
        <f t="shared" si="11"/>
        <v>0</v>
      </c>
      <c r="DJ18" s="229">
        <f t="shared" si="11"/>
        <v>0</v>
      </c>
      <c r="DK18" s="241">
        <f>SUMIFS('1.a sz. Önkormányzat 2022. '!D18:MH18,'1.a sz. Önkormányzat 2022. '!$D$4:$MH$4,"kötelező",'1.a sz. Önkormányzat 2022. '!$D$2:$MH$2,"Eredeti előirányzat")+SUMIFS(D18:DI18,$D$4:$DI$4,"kötelező",$D$2:$DI$2,"Eredeti előirányzat")</f>
        <v>0</v>
      </c>
      <c r="DL18" s="211">
        <f>+'1.a sz. Önkormányzat 2022. '!MY18+'1.b sz. Önkormányzat 2022.'!DZ18</f>
        <v>1811551</v>
      </c>
      <c r="DM18" s="241">
        <f>+'1.a sz. Önkormányzat 2022. '!MZ18+'1.b sz. Önkormányzat 2022.'!EA18</f>
        <v>1811551</v>
      </c>
      <c r="DN18" s="241">
        <f>SUMIFS('1.a sz. Önkormányzat 2022. '!D18:MM18,'1.a sz. Önkormányzat 2022. '!$D$4:$MM$4,"önként vállalt",'1.a sz. Önkormányzat 2022. '!$D$2:$MM$2,"Eredeti előirányzat")+SUMIFS(D18:DI18,$D$4:$DI$4,"önként vállalt",$D$2:$DI$2,"Eredeti előirányzat")</f>
        <v>13820000</v>
      </c>
      <c r="DO18" s="241">
        <f>+'1.a sz. Önkormányzat 2022. '!NA18+'1.b sz. Önkormányzat 2022.'!EB18</f>
        <v>16959710</v>
      </c>
      <c r="DP18" s="241">
        <f>+'1.a sz. Önkormányzat 2022. '!NB18+'1.b sz. Önkormányzat 2022.'!EC18</f>
        <v>11640220</v>
      </c>
      <c r="DQ18" s="241">
        <f>SUMIFS('1.a sz. Önkormányzat 2022. '!D18:MH18,'1.a sz. Önkormányzat 2022. '!$D$4:$MH$4,"államigazgatási",'1.a sz. Önkormányzat 2022. '!$D$2:$MH$2,"Eredeti előirányzat")+SUMIFS(D18:DI18,$D$4:$DI$4,"államigazgatási",$D$2:$DI$2,"Eredeti előirányzat")</f>
        <v>0</v>
      </c>
      <c r="DR18" s="241">
        <f>SUMIFS('1.a sz. Önkormányzat 2022. '!D18:MH18,'1.a sz. Önkormányzat 2022. '!$D$4:$MH$4,"államigazgatási",'1.a sz. Önkormányzat 2022. '!$D$2:$MH$2,"Módosított előirányzat")+SUMIFS(D18:DI18,$D$4:$DI$4,"államigazgatási",$D$2:$DI$2,"Módosított előirányzat")</f>
        <v>0</v>
      </c>
      <c r="DS18" s="241">
        <f>SUMIFS('1.a sz. Önkormányzat 2022. '!E18:MI18,'1.a sz. Önkormányzat 2022. '!$D$4:$MH$4,"államigazgatási",'1.a sz. Önkormányzat 2022. '!$D$2:$MH$2,"Módosított előirányzat")+SUMIFS(E18:DJ18,$D$4:$DI$4,"államigazgatási",$D$2:$DI$2,"Módosított előirányzat")</f>
        <v>0</v>
      </c>
      <c r="DT18" s="241">
        <f t="shared" si="1"/>
        <v>13820000</v>
      </c>
      <c r="DU18" s="241">
        <f t="shared" si="9"/>
        <v>18771261</v>
      </c>
      <c r="DV18" s="211">
        <f t="shared" si="2"/>
        <v>13451771</v>
      </c>
      <c r="DW18" s="383">
        <f>+'1.a sz. Önkormányzat 2022. '!LF18</f>
        <v>0</v>
      </c>
      <c r="DX18" s="383">
        <f>+'1.a sz. Önkormányzat 2022. '!LG18</f>
        <v>0</v>
      </c>
      <c r="DY18" s="383">
        <f>+'1.a sz. Önkormányzat 2022. '!LH18</f>
        <v>0</v>
      </c>
      <c r="DZ18" s="679">
        <f>+E18+H18+K18+N18+Q18+T18+W18+Z18+AC18+AF18+AI18+AL18+AO18+CB18+CN18+DC18+DF18+DI18</f>
        <v>0</v>
      </c>
      <c r="EA18" s="679">
        <f t="shared" si="4"/>
        <v>0</v>
      </c>
      <c r="EB18" s="676">
        <f>+AR18+AU18+AX18+BA18+BD18+BG18+BJ18+BM18+BP18+BS18+BV18+BY18+CE18+CH18+CK18+CQ18+CT18+CZ18+CW18</f>
        <v>13268960</v>
      </c>
      <c r="EC18" s="676">
        <f t="shared" si="6"/>
        <v>8140220</v>
      </c>
      <c r="EE18" s="213" t="e">
        <f>SUM(EE10:IM17)</f>
        <v>#REF!</v>
      </c>
    </row>
    <row r="19" spans="1:137" ht="21.75" customHeight="1" x14ac:dyDescent="0.25">
      <c r="A19" s="208" t="s">
        <v>228</v>
      </c>
      <c r="B19" s="218" t="s">
        <v>541</v>
      </c>
      <c r="C19" s="210"/>
      <c r="D19" s="229"/>
      <c r="E19" s="229"/>
      <c r="F19" s="229"/>
      <c r="G19" s="229"/>
      <c r="H19" s="229"/>
      <c r="I19" s="229"/>
      <c r="J19" s="229"/>
      <c r="K19" s="229"/>
      <c r="L19" s="229"/>
      <c r="M19" s="229"/>
      <c r="N19" s="229"/>
      <c r="O19" s="229"/>
      <c r="P19" s="229"/>
      <c r="Q19" s="229"/>
      <c r="R19" s="229"/>
      <c r="S19" s="229"/>
      <c r="T19" s="229"/>
      <c r="U19" s="229"/>
      <c r="V19" s="229"/>
      <c r="W19" s="229"/>
      <c r="X19" s="229"/>
      <c r="Y19" s="258"/>
      <c r="Z19" s="258"/>
      <c r="AA19" s="258"/>
      <c r="AB19" s="229"/>
      <c r="AC19" s="229"/>
      <c r="AD19" s="229"/>
      <c r="AE19" s="229"/>
      <c r="AF19" s="229"/>
      <c r="AG19" s="229"/>
      <c r="AH19" s="229"/>
      <c r="AI19" s="229"/>
      <c r="AJ19" s="229"/>
      <c r="AK19" s="229"/>
      <c r="AL19" s="229"/>
      <c r="AM19" s="229"/>
      <c r="AN19" s="229"/>
      <c r="AO19" s="229"/>
      <c r="AP19" s="229"/>
      <c r="AQ19" s="367">
        <f>+'[1]4.sz.Felhalm.c.pe.átadás'!E6+'[1]4.sz.Felhalm.c.pe.átadás'!F8+'[1]4.sz.Felhalm.c.pe.átadás'!F12</f>
        <v>6500000</v>
      </c>
      <c r="AR19" s="367">
        <v>1161940</v>
      </c>
      <c r="AS19" s="367">
        <v>1033200</v>
      </c>
      <c r="AT19" s="367">
        <f>+'[1]4.sz.Felhalm.c.pe.átadás'!G7</f>
        <v>4000000</v>
      </c>
      <c r="AU19" s="367">
        <v>4000000</v>
      </c>
      <c r="AV19" s="367"/>
      <c r="AW19" s="229"/>
      <c r="AX19" s="229">
        <v>65994</v>
      </c>
      <c r="AY19" s="229">
        <v>65994</v>
      </c>
      <c r="AZ19" s="229"/>
      <c r="BA19" s="229"/>
      <c r="BB19" s="229"/>
      <c r="BC19" s="229"/>
      <c r="BD19" s="229">
        <v>1636291</v>
      </c>
      <c r="BE19" s="229">
        <v>1636291</v>
      </c>
      <c r="BF19" s="258"/>
      <c r="BG19" s="258">
        <v>960000</v>
      </c>
      <c r="BH19" s="258">
        <v>960000</v>
      </c>
      <c r="BI19" s="258"/>
      <c r="BJ19" s="258"/>
      <c r="BK19" s="258"/>
      <c r="BL19" s="258"/>
      <c r="BM19" s="258"/>
      <c r="BN19" s="258"/>
      <c r="BO19" s="258"/>
      <c r="BP19" s="258"/>
      <c r="BQ19" s="258"/>
      <c r="BR19" s="258"/>
      <c r="BS19" s="258"/>
      <c r="BT19" s="258"/>
      <c r="BU19" s="367">
        <f>+'[1]4.sz.Felhalm.c.pe.átadás'!H11</f>
        <v>1320000</v>
      </c>
      <c r="BV19" s="367">
        <v>1320000</v>
      </c>
      <c r="BW19" s="367">
        <v>1320000</v>
      </c>
      <c r="BX19" s="229"/>
      <c r="BY19" s="229"/>
      <c r="BZ19" s="229"/>
      <c r="CA19" s="229"/>
      <c r="CB19" s="229"/>
      <c r="CC19" s="229"/>
      <c r="CD19" s="229"/>
      <c r="CE19" s="229"/>
      <c r="CF19" s="229"/>
      <c r="CG19" s="229"/>
      <c r="CH19" s="229"/>
      <c r="CI19" s="229"/>
      <c r="CJ19" s="229"/>
      <c r="CK19" s="229"/>
      <c r="CL19" s="229"/>
      <c r="CM19" s="229"/>
      <c r="CN19" s="229"/>
      <c r="CO19" s="229"/>
      <c r="CP19" s="229"/>
      <c r="CQ19" s="229"/>
      <c r="CR19" s="229"/>
      <c r="CS19" s="229"/>
      <c r="CT19" s="229">
        <v>2570000</v>
      </c>
      <c r="CU19" s="229">
        <v>1570000</v>
      </c>
      <c r="CV19" s="229"/>
      <c r="CW19" s="229">
        <v>1554735</v>
      </c>
      <c r="CX19" s="229">
        <v>1554735</v>
      </c>
      <c r="CY19" s="229"/>
      <c r="CZ19" s="229"/>
      <c r="DA19" s="229"/>
      <c r="DB19" s="241"/>
      <c r="DC19" s="241"/>
      <c r="DD19" s="241"/>
      <c r="DE19" s="241"/>
      <c r="DF19" s="241"/>
      <c r="DG19" s="241"/>
      <c r="DH19" s="241"/>
      <c r="DI19" s="241"/>
      <c r="DJ19" s="241"/>
      <c r="DK19" s="241">
        <f>SUMIFS('1.a sz. Önkormányzat 2022. '!D19:MH19,'1.a sz. Önkormányzat 2022. '!$D$4:$MH$4,"kötelező",'1.a sz. Önkormányzat 2022. '!$D$2:$MH$2,"Eredeti előirányzat")+SUMIFS(D19:DI19,$D$4:$DI$4,"kötelező",$D$2:$DI$2,"Eredeti előirányzat")</f>
        <v>0</v>
      </c>
      <c r="DL19" s="211">
        <f>+'1.a sz. Önkormányzat 2022. '!MY19+'1.b sz. Önkormányzat 2022.'!DZ19</f>
        <v>1811551</v>
      </c>
      <c r="DM19" s="241">
        <f>+'1.a sz. Önkormányzat 2022. '!MZ19+'1.b sz. Önkormányzat 2022.'!EA19</f>
        <v>1811551</v>
      </c>
      <c r="DN19" s="241">
        <f>SUMIFS('1.a sz. Önkormányzat 2022. '!D19:MM19,'1.a sz. Önkormányzat 2022. '!$D$4:$MM$4,"önként vállalt",'1.a sz. Önkormányzat 2022. '!$D$2:$MM$2,"Eredeti előirányzat")+SUMIFS(D19:DI19,$D$4:$DI$4,"önként vállalt",$D$2:$DI$2,"Eredeti előirányzat")</f>
        <v>13820000</v>
      </c>
      <c r="DO19" s="241">
        <f>+'1.a sz. Önkormányzat 2022. '!NA19+'1.b sz. Önkormányzat 2022.'!EB19</f>
        <v>16959710</v>
      </c>
      <c r="DP19" s="241">
        <f>+'1.a sz. Önkormányzat 2022. '!NB19+'1.b sz. Önkormányzat 2022.'!EC19</f>
        <v>11640220</v>
      </c>
      <c r="DQ19" s="241">
        <f>SUMIFS('1.a sz. Önkormányzat 2022. '!D19:MH19,'1.a sz. Önkormányzat 2022. '!$D$4:$MH$4,"államigazgatási",'1.a sz. Önkormányzat 2022. '!$D$2:$MH$2,"Eredeti előirányzat")+SUMIFS(D19:DI19,$D$4:$DI$4,"államigazgatási",$D$2:$DI$2,"Eredeti előirányzat")</f>
        <v>0</v>
      </c>
      <c r="DR19" s="241">
        <f>SUMIFS('1.a sz. Önkormányzat 2022. '!D19:MH19,'1.a sz. Önkormányzat 2022. '!$D$4:$MH$4,"államigazgatási",'1.a sz. Önkormányzat 2022. '!$D$2:$MH$2,"Módosított előirányzat")+SUMIFS(D19:DI19,$D$4:$DI$4,"államigazgatási",$D$2:$DI$2,"Módosított előirányzat")</f>
        <v>0</v>
      </c>
      <c r="DS19" s="241">
        <f>SUMIFS('1.a sz. Önkormányzat 2022. '!E19:MI19,'1.a sz. Önkormányzat 2022. '!$D$4:$MH$4,"államigazgatási",'1.a sz. Önkormányzat 2022. '!$D$2:$MH$2,"Módosított előirányzat")+SUMIFS(E19:DJ19,$D$4:$DI$4,"államigazgatási",$D$2:$DI$2,"Módosított előirányzat")</f>
        <v>0</v>
      </c>
      <c r="DT19" s="241">
        <f t="shared" si="1"/>
        <v>13820000</v>
      </c>
      <c r="DU19" s="241">
        <f t="shared" si="9"/>
        <v>18771261</v>
      </c>
      <c r="DV19" s="211">
        <f t="shared" si="2"/>
        <v>13451771</v>
      </c>
      <c r="DW19" s="383">
        <f>+'1.a sz. Önkormányzat 2022. '!LF19</f>
        <v>0</v>
      </c>
      <c r="DX19" s="383">
        <f>+'1.a sz. Önkormányzat 2022. '!LG19</f>
        <v>0</v>
      </c>
      <c r="DY19" s="383">
        <f>+'1.a sz. Önkormányzat 2022. '!LH19</f>
        <v>0</v>
      </c>
      <c r="DZ19" s="679">
        <f>+E19+H19+K19+N19+Q19+T19+W19+Z19+AC19+AF19+AI19+AL19+AO19+CB19+CN19+DC19+DF19+DI19</f>
        <v>0</v>
      </c>
      <c r="EA19" s="679">
        <f t="shared" si="4"/>
        <v>0</v>
      </c>
      <c r="EB19" s="676">
        <f>+AR19+AU19+AX19+BA19+BD19+BG19+BJ19+BM19+BP19+BS19+BV19+BY19+CE19+CH19+CK19+CQ19+CT19+CZ19+CW19</f>
        <v>13268960</v>
      </c>
      <c r="EC19" s="676">
        <f t="shared" si="6"/>
        <v>8140220</v>
      </c>
      <c r="EE19" s="204">
        <f>160237220+12180711</f>
        <v>172417931</v>
      </c>
    </row>
    <row r="20" spans="1:137" s="215" customFormat="1" ht="21.75" customHeight="1" x14ac:dyDescent="0.25">
      <c r="A20" s="208" t="s">
        <v>229</v>
      </c>
      <c r="B20" s="221" t="s">
        <v>239</v>
      </c>
      <c r="C20" s="210" t="s">
        <v>211</v>
      </c>
      <c r="D20" s="240">
        <f>+D18+D17+D16+D12+D11+D10+D9+D8</f>
        <v>23000000</v>
      </c>
      <c r="E20" s="240">
        <f t="shared" ref="E20:DE20" si="12">+E18+E17+E16+E12+E11+E10+E9+E8</f>
        <v>16819430</v>
      </c>
      <c r="F20" s="240">
        <f t="shared" si="12"/>
        <v>12780226</v>
      </c>
      <c r="G20" s="240">
        <f t="shared" si="12"/>
        <v>1500000</v>
      </c>
      <c r="H20" s="240">
        <f t="shared" si="12"/>
        <v>1500000</v>
      </c>
      <c r="I20" s="240">
        <f t="shared" si="12"/>
        <v>0</v>
      </c>
      <c r="J20" s="240">
        <f t="shared" si="12"/>
        <v>2300000</v>
      </c>
      <c r="K20" s="240">
        <f t="shared" si="12"/>
        <v>2300000</v>
      </c>
      <c r="L20" s="240">
        <f t="shared" si="12"/>
        <v>915970</v>
      </c>
      <c r="M20" s="240">
        <f t="shared" si="12"/>
        <v>2000000</v>
      </c>
      <c r="N20" s="240">
        <f t="shared" si="12"/>
        <v>2000000</v>
      </c>
      <c r="O20" s="240">
        <f t="shared" si="12"/>
        <v>326340</v>
      </c>
      <c r="P20" s="240">
        <f t="shared" si="12"/>
        <v>3000000</v>
      </c>
      <c r="Q20" s="240">
        <f t="shared" si="12"/>
        <v>3000000</v>
      </c>
      <c r="R20" s="240">
        <f t="shared" si="12"/>
        <v>1702500</v>
      </c>
      <c r="S20" s="240">
        <f t="shared" si="12"/>
        <v>4000000</v>
      </c>
      <c r="T20" s="240">
        <f t="shared" si="12"/>
        <v>4000000</v>
      </c>
      <c r="U20" s="240">
        <f t="shared" si="12"/>
        <v>3675056</v>
      </c>
      <c r="V20" s="240">
        <f t="shared" si="12"/>
        <v>500000</v>
      </c>
      <c r="W20" s="240">
        <f t="shared" si="12"/>
        <v>500000</v>
      </c>
      <c r="X20" s="240">
        <f t="shared" si="12"/>
        <v>33651</v>
      </c>
      <c r="Y20" s="240">
        <f t="shared" si="12"/>
        <v>0</v>
      </c>
      <c r="Z20" s="240">
        <f t="shared" si="12"/>
        <v>0</v>
      </c>
      <c r="AA20" s="240">
        <f t="shared" si="12"/>
        <v>0</v>
      </c>
      <c r="AB20" s="240">
        <f t="shared" si="12"/>
        <v>500000</v>
      </c>
      <c r="AC20" s="240">
        <f t="shared" si="12"/>
        <v>500000</v>
      </c>
      <c r="AD20" s="240">
        <f t="shared" si="12"/>
        <v>70000</v>
      </c>
      <c r="AE20" s="240">
        <f t="shared" si="12"/>
        <v>200000</v>
      </c>
      <c r="AF20" s="240">
        <f t="shared" si="12"/>
        <v>200000</v>
      </c>
      <c r="AG20" s="240">
        <f t="shared" si="12"/>
        <v>0</v>
      </c>
      <c r="AH20" s="240">
        <f t="shared" si="12"/>
        <v>0</v>
      </c>
      <c r="AI20" s="240">
        <f t="shared" si="12"/>
        <v>1000000</v>
      </c>
      <c r="AJ20" s="240">
        <f t="shared" si="12"/>
        <v>0</v>
      </c>
      <c r="AK20" s="240">
        <f t="shared" si="12"/>
        <v>7000000</v>
      </c>
      <c r="AL20" s="240">
        <f t="shared" si="12"/>
        <v>7000000</v>
      </c>
      <c r="AM20" s="240">
        <f t="shared" si="12"/>
        <v>5269145</v>
      </c>
      <c r="AN20" s="240">
        <f t="shared" si="12"/>
        <v>0</v>
      </c>
      <c r="AO20" s="240">
        <f t="shared" si="12"/>
        <v>9000000</v>
      </c>
      <c r="AP20" s="240">
        <f t="shared" si="12"/>
        <v>7041241</v>
      </c>
      <c r="AQ20" s="240">
        <f t="shared" si="12"/>
        <v>6500000</v>
      </c>
      <c r="AR20" s="240">
        <f t="shared" si="12"/>
        <v>1161940</v>
      </c>
      <c r="AS20" s="240">
        <f t="shared" si="12"/>
        <v>1033200</v>
      </c>
      <c r="AT20" s="240">
        <f t="shared" si="12"/>
        <v>4000000</v>
      </c>
      <c r="AU20" s="240">
        <f t="shared" si="12"/>
        <v>4000000</v>
      </c>
      <c r="AV20" s="240">
        <f t="shared" si="12"/>
        <v>0</v>
      </c>
      <c r="AW20" s="240">
        <f t="shared" si="12"/>
        <v>0</v>
      </c>
      <c r="AX20" s="240">
        <f t="shared" si="12"/>
        <v>100000</v>
      </c>
      <c r="AY20" s="240">
        <f t="shared" si="12"/>
        <v>100000</v>
      </c>
      <c r="AZ20" s="240">
        <f t="shared" si="12"/>
        <v>7047905</v>
      </c>
      <c r="BA20" s="240">
        <f t="shared" si="12"/>
        <v>7047905</v>
      </c>
      <c r="BB20" s="240">
        <f t="shared" si="12"/>
        <v>7047905</v>
      </c>
      <c r="BC20" s="240">
        <f t="shared" si="12"/>
        <v>117853492</v>
      </c>
      <c r="BD20" s="240">
        <f t="shared" si="12"/>
        <v>117853492</v>
      </c>
      <c r="BE20" s="240">
        <f t="shared" si="12"/>
        <v>117853492</v>
      </c>
      <c r="BF20" s="261">
        <f t="shared" si="12"/>
        <v>3220000</v>
      </c>
      <c r="BG20" s="261">
        <f t="shared" si="12"/>
        <v>4917452</v>
      </c>
      <c r="BH20" s="261">
        <f t="shared" si="12"/>
        <v>4917452</v>
      </c>
      <c r="BI20" s="261">
        <f t="shared" si="12"/>
        <v>0</v>
      </c>
      <c r="BJ20" s="261">
        <f t="shared" si="12"/>
        <v>5005000</v>
      </c>
      <c r="BK20" s="261">
        <f t="shared" si="12"/>
        <v>5005000</v>
      </c>
      <c r="BL20" s="261">
        <f t="shared" si="12"/>
        <v>0</v>
      </c>
      <c r="BM20" s="261">
        <f t="shared" si="12"/>
        <v>0</v>
      </c>
      <c r="BN20" s="261">
        <f t="shared" si="12"/>
        <v>0</v>
      </c>
      <c r="BO20" s="261">
        <f t="shared" si="12"/>
        <v>2590000</v>
      </c>
      <c r="BP20" s="261">
        <f t="shared" si="12"/>
        <v>14020000</v>
      </c>
      <c r="BQ20" s="261">
        <f t="shared" si="12"/>
        <v>13920000</v>
      </c>
      <c r="BR20" s="261">
        <f t="shared" si="12"/>
        <v>0</v>
      </c>
      <c r="BS20" s="261">
        <f t="shared" si="12"/>
        <v>1770000</v>
      </c>
      <c r="BT20" s="261">
        <f t="shared" si="12"/>
        <v>1770000</v>
      </c>
      <c r="BU20" s="240">
        <f t="shared" si="12"/>
        <v>4400000</v>
      </c>
      <c r="BV20" s="240">
        <f t="shared" si="12"/>
        <v>4400000</v>
      </c>
      <c r="BW20" s="240">
        <f t="shared" si="12"/>
        <v>4400000</v>
      </c>
      <c r="BX20" s="240">
        <f t="shared" si="12"/>
        <v>0</v>
      </c>
      <c r="BY20" s="240">
        <f t="shared" si="12"/>
        <v>3375000</v>
      </c>
      <c r="BZ20" s="240">
        <f t="shared" si="12"/>
        <v>3375000</v>
      </c>
      <c r="CA20" s="240">
        <f t="shared" si="12"/>
        <v>89632393</v>
      </c>
      <c r="CB20" s="240">
        <f t="shared" si="12"/>
        <v>117318393</v>
      </c>
      <c r="CC20" s="240">
        <f t="shared" si="12"/>
        <v>107896789</v>
      </c>
      <c r="CD20" s="240">
        <f t="shared" si="12"/>
        <v>4000000</v>
      </c>
      <c r="CE20" s="240">
        <f t="shared" si="12"/>
        <v>4000000</v>
      </c>
      <c r="CF20" s="240">
        <f t="shared" si="12"/>
        <v>3900000</v>
      </c>
      <c r="CG20" s="240">
        <f t="shared" si="12"/>
        <v>26600000</v>
      </c>
      <c r="CH20" s="240">
        <f t="shared" si="12"/>
        <v>26600000</v>
      </c>
      <c r="CI20" s="240">
        <f t="shared" si="12"/>
        <v>26600000</v>
      </c>
      <c r="CJ20" s="240">
        <f t="shared" si="12"/>
        <v>43128880</v>
      </c>
      <c r="CK20" s="240">
        <f t="shared" si="12"/>
        <v>47128880</v>
      </c>
      <c r="CL20" s="240">
        <f t="shared" si="12"/>
        <v>45636203</v>
      </c>
      <c r="CM20" s="240">
        <f t="shared" si="12"/>
        <v>29656000</v>
      </c>
      <c r="CN20" s="240">
        <f t="shared" si="12"/>
        <v>29656004</v>
      </c>
      <c r="CO20" s="240">
        <f t="shared" si="12"/>
        <v>27826925</v>
      </c>
      <c r="CP20" s="240">
        <f t="shared" si="12"/>
        <v>1487500</v>
      </c>
      <c r="CQ20" s="240">
        <f t="shared" si="12"/>
        <v>1487500</v>
      </c>
      <c r="CR20" s="240">
        <f t="shared" si="12"/>
        <v>962500</v>
      </c>
      <c r="CS20" s="240">
        <f t="shared" si="12"/>
        <v>210500</v>
      </c>
      <c r="CT20" s="240">
        <f t="shared" si="12"/>
        <v>3960500</v>
      </c>
      <c r="CU20" s="240">
        <f t="shared" si="12"/>
        <v>2960500</v>
      </c>
      <c r="CV20" s="240">
        <f>+CV18+CV17+CV16+CV12+CV11+CV10+CV9+CV8</f>
        <v>0</v>
      </c>
      <c r="CW20" s="240">
        <f>+CW18+CW17+CW16+CW12+CW11+CW10+CW9+CW8</f>
        <v>1554735</v>
      </c>
      <c r="CX20" s="240">
        <f>+CX18+CX17+CX16+CX12+CX11+CX10+CX9+CX8</f>
        <v>1554735</v>
      </c>
      <c r="CY20" s="240">
        <f t="shared" si="12"/>
        <v>40000000</v>
      </c>
      <c r="CZ20" s="240">
        <f t="shared" si="12"/>
        <v>40001919</v>
      </c>
      <c r="DA20" s="240">
        <f t="shared" si="12"/>
        <v>24189682</v>
      </c>
      <c r="DB20" s="240">
        <f t="shared" si="12"/>
        <v>0</v>
      </c>
      <c r="DC20" s="240">
        <f t="shared" si="12"/>
        <v>0</v>
      </c>
      <c r="DD20" s="240">
        <f t="shared" si="12"/>
        <v>0</v>
      </c>
      <c r="DE20" s="240">
        <f t="shared" si="12"/>
        <v>0</v>
      </c>
      <c r="DF20" s="240">
        <f>+DF18+DF17+DF16+DF12+DF11+DF10+DF9+DF8</f>
        <v>0</v>
      </c>
      <c r="DG20" s="240">
        <f>+DG18+DG17+DG16+DG12+DG11+DG10+DG9+DG8</f>
        <v>0</v>
      </c>
      <c r="DH20" s="240">
        <f>+DH18+DH17+DH16+DH12+DH11+DH10+DH9+DH8</f>
        <v>0</v>
      </c>
      <c r="DI20" s="240">
        <f>+DI18+DI17+DI16+DI12+DI11+DI10+DI9+DI8</f>
        <v>0</v>
      </c>
      <c r="DJ20" s="240">
        <f>+DJ18+DJ17+DJ16+DJ12+DJ11+DJ10+DJ9+DJ8</f>
        <v>0</v>
      </c>
      <c r="DK20" s="240">
        <f>SUMIFS('1.a sz. Önkormányzat 2022. '!D20:MH20,'1.a sz. Önkormányzat 2022. '!$D$4:$MH$4,"kötelező",'1.a sz. Önkormányzat 2022. '!$D$2:$MH$2,"Eredeti előirányzat")+SUMIFS(D20:DI20,$D$4:$DI$4,"kötelező",$D$2:$DI$2,"Eredeti előirányzat")</f>
        <v>5579957026</v>
      </c>
      <c r="DL20" s="261">
        <f>+'1.a sz. Önkormányzat 2022. '!MY20+'1.b sz. Önkormányzat 2022.'!DZ20</f>
        <v>7217312720</v>
      </c>
      <c r="DM20" s="240">
        <f>+'1.a sz. Önkormányzat 2022. '!MZ20+'1.b sz. Önkormányzat 2022.'!EA20</f>
        <v>4006233048</v>
      </c>
      <c r="DN20" s="240">
        <f>SUMIFS('1.a sz. Önkormányzat 2022. '!D20:MM20,'1.a sz. Önkormányzat 2022. '!$D$4:$MM$4,"önként vállalt",'1.a sz. Önkormányzat 2022. '!$D$2:$MM$2,"Eredeti előirányzat")+SUMIFS(D20:DI20,$D$4:$DI$4,"önként vállalt",$D$2:$DI$2,"Eredeti előirányzat")</f>
        <v>1092258792</v>
      </c>
      <c r="DO20" s="240">
        <f>+'1.a sz. Önkormányzat 2022. '!NA20+'1.b sz. Önkormányzat 2022.'!EB20</f>
        <v>1234557408</v>
      </c>
      <c r="DP20" s="240">
        <f>+'1.a sz. Önkormányzat 2022. '!NB20+'1.b sz. Önkormányzat 2022.'!EC20</f>
        <v>1035519206</v>
      </c>
      <c r="DQ20" s="240">
        <f>SUMIFS('1.a sz. Önkormányzat 2022. '!D20:MH20,'1.a sz. Önkormányzat 2022. '!$D$4:$MH$4,"államigazgatási",'1.a sz. Önkormányzat 2022. '!$D$2:$MH$2,"Eredeti előirányzat")+SUMIFS(D20:DI20,$D$4:$DI$4,"államigazgatási",$D$2:$DI$2,"Eredeti előirányzat")</f>
        <v>0</v>
      </c>
      <c r="DR20" s="240">
        <f>SUMIFS('1.a sz. Önkormányzat 2022. '!D20:MH20,'1.a sz. Önkormányzat 2022. '!$D$4:$MH$4,"államigazgatási",'1.a sz. Önkormányzat 2022. '!$D$2:$MH$2,"Módosított előirányzat")+SUMIFS(D20:DI20,$D$4:$DI$4,"államigazgatási",$D$2:$DI$2,"Módosított előirányzat")</f>
        <v>0</v>
      </c>
      <c r="DS20" s="240">
        <f>SUMIFS('1.a sz. Önkormányzat 2022. '!E20:MI20,'1.a sz. Önkormányzat 2022. '!$D$4:$MH$4,"államigazgatási",'1.a sz. Önkormányzat 2022. '!$D$2:$MH$2,"Módosított előirányzat")+SUMIFS(E20:DJ20,$D$4:$DI$4,"államigazgatási",$D$2:$DI$2,"Módosított előirányzat")</f>
        <v>0</v>
      </c>
      <c r="DT20" s="240">
        <f t="shared" si="1"/>
        <v>6672215818</v>
      </c>
      <c r="DU20" s="261">
        <f t="shared" si="9"/>
        <v>8451870128</v>
      </c>
      <c r="DV20" s="261">
        <f t="shared" si="2"/>
        <v>5041752254</v>
      </c>
      <c r="DW20" s="383">
        <f>+'1.a sz. Önkormányzat 2022. '!LF20</f>
        <v>7499350</v>
      </c>
      <c r="DX20" s="383">
        <f>+'1.a sz. Önkormányzat 2022. '!LG20</f>
        <v>49565206</v>
      </c>
      <c r="DY20" s="383">
        <f>+'1.a sz. Önkormányzat 2022. '!LH20</f>
        <v>14589044</v>
      </c>
      <c r="DZ20" s="679">
        <f>+E20+H20+K20+N20+Q20+T20+W20+Z20+AC20+AF20+AI20+AL20+AO20+CB20+CN20+DC20+DF20+DI20</f>
        <v>194793827</v>
      </c>
      <c r="EA20" s="679">
        <f t="shared" si="4"/>
        <v>167537843</v>
      </c>
      <c r="EB20" s="676">
        <f>+AR20+AU20+AX20+BA20+BD20+BG20+BJ20+BM20+BP20+BS20+BV20+BY20+CE20+CH20+CK20+CQ20+CT20+CZ20+CW20</f>
        <v>288384323</v>
      </c>
      <c r="EC20" s="676">
        <f>+AS20+AV20+AY20+BB20+BE20+BH20+BK20+BN20+BQ20+BT20+BW20+BZ20+CF20+CI20+CL20+CR20+CU20+DA20+CX20</f>
        <v>265225669</v>
      </c>
      <c r="ED20" s="215">
        <v>4468838372</v>
      </c>
      <c r="EE20" s="216" t="e">
        <f>+EE19+EE18</f>
        <v>#REF!</v>
      </c>
    </row>
    <row r="21" spans="1:137" s="215" customFormat="1" ht="21.75" customHeight="1" x14ac:dyDescent="0.25">
      <c r="A21" s="208" t="s">
        <v>230</v>
      </c>
      <c r="B21" s="221" t="s">
        <v>224</v>
      </c>
      <c r="C21" s="210" t="s">
        <v>220</v>
      </c>
      <c r="D21" s="229">
        <f>+D22+D23+D24+D25+D26</f>
        <v>0</v>
      </c>
      <c r="E21" s="229">
        <f t="shared" ref="E21:DE21" si="13">+E22+E23+E24+E25+E26</f>
        <v>0</v>
      </c>
      <c r="F21" s="229">
        <f t="shared" si="13"/>
        <v>0</v>
      </c>
      <c r="G21" s="229">
        <f t="shared" si="13"/>
        <v>0</v>
      </c>
      <c r="H21" s="229">
        <f t="shared" si="13"/>
        <v>0</v>
      </c>
      <c r="I21" s="229">
        <f t="shared" si="13"/>
        <v>0</v>
      </c>
      <c r="J21" s="229">
        <f t="shared" si="13"/>
        <v>0</v>
      </c>
      <c r="K21" s="229">
        <f t="shared" si="13"/>
        <v>0</v>
      </c>
      <c r="L21" s="229">
        <f t="shared" si="13"/>
        <v>0</v>
      </c>
      <c r="M21" s="229">
        <f t="shared" si="13"/>
        <v>0</v>
      </c>
      <c r="N21" s="229">
        <f t="shared" si="13"/>
        <v>0</v>
      </c>
      <c r="O21" s="229">
        <f t="shared" si="13"/>
        <v>0</v>
      </c>
      <c r="P21" s="229">
        <f t="shared" si="13"/>
        <v>0</v>
      </c>
      <c r="Q21" s="229">
        <f t="shared" si="13"/>
        <v>0</v>
      </c>
      <c r="R21" s="229">
        <f t="shared" si="13"/>
        <v>0</v>
      </c>
      <c r="S21" s="229">
        <f t="shared" si="13"/>
        <v>0</v>
      </c>
      <c r="T21" s="229">
        <f t="shared" si="13"/>
        <v>0</v>
      </c>
      <c r="U21" s="229">
        <f t="shared" si="13"/>
        <v>0</v>
      </c>
      <c r="V21" s="229">
        <f t="shared" si="13"/>
        <v>0</v>
      </c>
      <c r="W21" s="229">
        <f t="shared" si="13"/>
        <v>0</v>
      </c>
      <c r="X21" s="229">
        <f t="shared" si="13"/>
        <v>0</v>
      </c>
      <c r="Y21" s="229">
        <f t="shared" si="13"/>
        <v>0</v>
      </c>
      <c r="Z21" s="229">
        <f t="shared" si="13"/>
        <v>0</v>
      </c>
      <c r="AA21" s="229">
        <f t="shared" si="13"/>
        <v>0</v>
      </c>
      <c r="AB21" s="229">
        <f t="shared" si="13"/>
        <v>0</v>
      </c>
      <c r="AC21" s="229">
        <f t="shared" si="13"/>
        <v>0</v>
      </c>
      <c r="AD21" s="229">
        <f t="shared" si="13"/>
        <v>0</v>
      </c>
      <c r="AE21" s="229">
        <f t="shared" si="13"/>
        <v>0</v>
      </c>
      <c r="AF21" s="229">
        <f t="shared" si="13"/>
        <v>0</v>
      </c>
      <c r="AG21" s="229">
        <f t="shared" si="13"/>
        <v>0</v>
      </c>
      <c r="AH21" s="229">
        <f t="shared" si="13"/>
        <v>0</v>
      </c>
      <c r="AI21" s="229">
        <f t="shared" si="13"/>
        <v>0</v>
      </c>
      <c r="AJ21" s="229">
        <f t="shared" si="13"/>
        <v>0</v>
      </c>
      <c r="AK21" s="229">
        <f t="shared" si="13"/>
        <v>0</v>
      </c>
      <c r="AL21" s="229">
        <f t="shared" si="13"/>
        <v>0</v>
      </c>
      <c r="AM21" s="229">
        <f t="shared" si="13"/>
        <v>0</v>
      </c>
      <c r="AN21" s="229">
        <f t="shared" si="13"/>
        <v>0</v>
      </c>
      <c r="AO21" s="229">
        <f t="shared" si="13"/>
        <v>0</v>
      </c>
      <c r="AP21" s="229">
        <f t="shared" si="13"/>
        <v>0</v>
      </c>
      <c r="AQ21" s="229">
        <f t="shared" si="13"/>
        <v>0</v>
      </c>
      <c r="AR21" s="229">
        <f t="shared" si="13"/>
        <v>0</v>
      </c>
      <c r="AS21" s="229">
        <f t="shared" si="13"/>
        <v>0</v>
      </c>
      <c r="AT21" s="229">
        <f t="shared" si="13"/>
        <v>0</v>
      </c>
      <c r="AU21" s="229">
        <f t="shared" si="13"/>
        <v>0</v>
      </c>
      <c r="AV21" s="229">
        <f t="shared" si="13"/>
        <v>0</v>
      </c>
      <c r="AW21" s="229">
        <f t="shared" si="13"/>
        <v>0</v>
      </c>
      <c r="AX21" s="229">
        <f t="shared" si="13"/>
        <v>0</v>
      </c>
      <c r="AY21" s="229">
        <f t="shared" si="13"/>
        <v>0</v>
      </c>
      <c r="AZ21" s="229">
        <f t="shared" si="13"/>
        <v>0</v>
      </c>
      <c r="BA21" s="229">
        <f t="shared" si="13"/>
        <v>0</v>
      </c>
      <c r="BB21" s="229">
        <f t="shared" si="13"/>
        <v>0</v>
      </c>
      <c r="BC21" s="229">
        <f t="shared" si="13"/>
        <v>0</v>
      </c>
      <c r="BD21" s="229">
        <f t="shared" si="13"/>
        <v>0</v>
      </c>
      <c r="BE21" s="229">
        <f t="shared" si="13"/>
        <v>0</v>
      </c>
      <c r="BF21" s="258">
        <f t="shared" si="13"/>
        <v>0</v>
      </c>
      <c r="BG21" s="258">
        <f t="shared" si="13"/>
        <v>0</v>
      </c>
      <c r="BH21" s="258">
        <f t="shared" si="13"/>
        <v>0</v>
      </c>
      <c r="BI21" s="258">
        <f t="shared" si="13"/>
        <v>0</v>
      </c>
      <c r="BJ21" s="258">
        <f t="shared" si="13"/>
        <v>0</v>
      </c>
      <c r="BK21" s="258">
        <f t="shared" si="13"/>
        <v>0</v>
      </c>
      <c r="BL21" s="258">
        <f t="shared" si="13"/>
        <v>0</v>
      </c>
      <c r="BM21" s="258">
        <f t="shared" si="13"/>
        <v>0</v>
      </c>
      <c r="BN21" s="258">
        <f t="shared" si="13"/>
        <v>0</v>
      </c>
      <c r="BO21" s="258">
        <f t="shared" si="13"/>
        <v>0</v>
      </c>
      <c r="BP21" s="258">
        <f t="shared" si="13"/>
        <v>0</v>
      </c>
      <c r="BQ21" s="258">
        <f t="shared" si="13"/>
        <v>0</v>
      </c>
      <c r="BR21" s="258">
        <f t="shared" si="13"/>
        <v>0</v>
      </c>
      <c r="BS21" s="258">
        <f t="shared" si="13"/>
        <v>0</v>
      </c>
      <c r="BT21" s="258">
        <f t="shared" si="13"/>
        <v>0</v>
      </c>
      <c r="BU21" s="229">
        <f t="shared" si="13"/>
        <v>0</v>
      </c>
      <c r="BV21" s="229">
        <f t="shared" si="13"/>
        <v>0</v>
      </c>
      <c r="BW21" s="229">
        <f t="shared" si="13"/>
        <v>0</v>
      </c>
      <c r="BX21" s="229">
        <f t="shared" si="13"/>
        <v>0</v>
      </c>
      <c r="BY21" s="229">
        <f t="shared" si="13"/>
        <v>0</v>
      </c>
      <c r="BZ21" s="229">
        <f t="shared" si="13"/>
        <v>0</v>
      </c>
      <c r="CA21" s="229">
        <f t="shared" si="13"/>
        <v>0</v>
      </c>
      <c r="CB21" s="229">
        <f t="shared" si="13"/>
        <v>0</v>
      </c>
      <c r="CC21" s="229">
        <f t="shared" si="13"/>
        <v>0</v>
      </c>
      <c r="CD21" s="229">
        <f t="shared" si="13"/>
        <v>0</v>
      </c>
      <c r="CE21" s="229">
        <f t="shared" si="13"/>
        <v>0</v>
      </c>
      <c r="CF21" s="229">
        <f t="shared" si="13"/>
        <v>0</v>
      </c>
      <c r="CG21" s="229">
        <f t="shared" si="13"/>
        <v>0</v>
      </c>
      <c r="CH21" s="229">
        <f t="shared" si="13"/>
        <v>0</v>
      </c>
      <c r="CI21" s="229">
        <f t="shared" si="13"/>
        <v>0</v>
      </c>
      <c r="CJ21" s="229">
        <f t="shared" si="13"/>
        <v>0</v>
      </c>
      <c r="CK21" s="229">
        <f t="shared" si="13"/>
        <v>0</v>
      </c>
      <c r="CL21" s="229">
        <f t="shared" si="13"/>
        <v>0</v>
      </c>
      <c r="CM21" s="229">
        <f t="shared" si="13"/>
        <v>0</v>
      </c>
      <c r="CN21" s="229">
        <f t="shared" si="13"/>
        <v>0</v>
      </c>
      <c r="CO21" s="229">
        <f t="shared" si="13"/>
        <v>0</v>
      </c>
      <c r="CP21" s="229">
        <f t="shared" si="13"/>
        <v>0</v>
      </c>
      <c r="CQ21" s="229">
        <f t="shared" si="13"/>
        <v>0</v>
      </c>
      <c r="CR21" s="229">
        <f t="shared" si="13"/>
        <v>0</v>
      </c>
      <c r="CS21" s="229">
        <f t="shared" si="13"/>
        <v>0</v>
      </c>
      <c r="CT21" s="229">
        <f t="shared" si="13"/>
        <v>0</v>
      </c>
      <c r="CU21" s="229">
        <f t="shared" si="13"/>
        <v>0</v>
      </c>
      <c r="CV21" s="229">
        <f>+CV22+CV23+CV24+CV25+CV26</f>
        <v>0</v>
      </c>
      <c r="CW21" s="229">
        <f>+CW22+CW23+CW24+CW25+CW26</f>
        <v>0</v>
      </c>
      <c r="CX21" s="229">
        <f>+CX22+CX23+CX24+CX25+CX26</f>
        <v>0</v>
      </c>
      <c r="CY21" s="229">
        <f t="shared" si="13"/>
        <v>91696060</v>
      </c>
      <c r="CZ21" s="229">
        <f t="shared" si="13"/>
        <v>91696060</v>
      </c>
      <c r="DA21" s="229">
        <f t="shared" si="13"/>
        <v>28291696060</v>
      </c>
      <c r="DB21" s="229">
        <f t="shared" si="13"/>
        <v>0</v>
      </c>
      <c r="DC21" s="229">
        <f t="shared" si="13"/>
        <v>0</v>
      </c>
      <c r="DD21" s="229">
        <f t="shared" si="13"/>
        <v>0</v>
      </c>
      <c r="DE21" s="229">
        <f t="shared" si="13"/>
        <v>0</v>
      </c>
      <c r="DF21" s="229">
        <f>+DF22+DF23+DF24+DF25+DF26</f>
        <v>295068529</v>
      </c>
      <c r="DG21" s="229">
        <f>+DG22+DG23+DG24+DG25+DG26</f>
        <v>295068529</v>
      </c>
      <c r="DH21" s="229">
        <f>+DH22+DH23+DH24+DH25+DH26</f>
        <v>0</v>
      </c>
      <c r="DI21" s="229">
        <f>+DI22+DI23+DI24+DI25+DI26</f>
        <v>0</v>
      </c>
      <c r="DJ21" s="229">
        <f>+DJ22+DJ23+DJ24+DJ25+DJ26</f>
        <v>0</v>
      </c>
      <c r="DK21" s="241">
        <f>SUMIFS('1.a sz. Önkormányzat 2022. '!D21:MH21,'1.a sz. Önkormányzat 2022. '!$D$4:$MH$4,"kötelező",'1.a sz. Önkormányzat 2022. '!$D$2:$MH$2,"Eredeti előirányzat")+SUMIFS(D21:DI21,$D$4:$DI$4,"kötelező",$D$2:$DI$2,"Eredeti előirányzat")</f>
        <v>3575792043</v>
      </c>
      <c r="DL21" s="211">
        <f>+'1.a sz. Önkormányzat 2022. '!MY21+'1.b sz. Önkormányzat 2022.'!DZ21</f>
        <v>4079816808</v>
      </c>
      <c r="DM21" s="678">
        <f>+'1.a sz. Önkormányzat 2022. '!MZ21+'1.b sz. Önkormányzat 2022.'!EA21</f>
        <v>3517828815</v>
      </c>
      <c r="DN21" s="241">
        <f>SUMIFS('1.a sz. Önkormányzat 2022. '!D21:MM21,'1.a sz. Önkormányzat 2022. '!$D$4:$MM$4,"önként vállalt",'1.a sz. Önkormányzat 2022. '!$D$2:$MM$2,"Eredeti előirányzat")+SUMIFS(D21:DI21,$D$4:$DI$4,"önként vállalt",$D$2:$DI$2,"Eredeti előirányzat")</f>
        <v>91696060</v>
      </c>
      <c r="DO21" s="241">
        <f>+'1.a sz. Önkormányzat 2022. '!NA21+'1.b sz. Önkormányzat 2022.'!EB21</f>
        <v>91696060</v>
      </c>
      <c r="DP21" s="678">
        <f>+'1.a sz. Önkormányzat 2022. '!NB21+EC21</f>
        <v>28291696060</v>
      </c>
      <c r="DQ21" s="241">
        <f>SUMIFS('1.a sz. Önkormányzat 2022. '!D21:MH21,'1.a sz. Önkormányzat 2022. '!$D$4:$MH$4,"államigazgatási",'1.a sz. Önkormányzat 2022. '!$D$2:$MH$2,"Eredeti előirányzat")+SUMIFS(D21:DI21,$D$4:$DI$4,"államigazgatási",$D$2:$DI$2,"Eredeti előirányzat")</f>
        <v>0</v>
      </c>
      <c r="DR21" s="241">
        <f>SUMIFS('1.a sz. Önkormányzat 2022. '!D21:MH21,'1.a sz. Önkormányzat 2022. '!$D$4:$MH$4,"államigazgatási",'1.a sz. Önkormányzat 2022. '!$D$2:$MH$2,"Módosított előirányzat")+SUMIFS(D21:DI21,$D$4:$DI$4,"államigazgatási",$D$2:$DI$2,"Módosított előirányzat")</f>
        <v>0</v>
      </c>
      <c r="DS21" s="241">
        <f>SUMIFS('1.a sz. Önkormányzat 2022. '!E21:MI21,'1.a sz. Önkormányzat 2022. '!$D$4:$MH$4,"államigazgatási",'1.a sz. Önkormányzat 2022. '!$D$2:$MH$2,"Módosított előirányzat")+SUMIFS(E21:DJ21,$D$4:$DI$4,"államigazgatási",$D$2:$DI$2,"Módosított előirányzat")</f>
        <v>0</v>
      </c>
      <c r="DT21" s="241">
        <f t="shared" si="1"/>
        <v>3667488103</v>
      </c>
      <c r="DU21" s="241">
        <f t="shared" si="9"/>
        <v>4171512868</v>
      </c>
      <c r="DV21" s="211">
        <f t="shared" si="2"/>
        <v>31809524875</v>
      </c>
      <c r="DW21" s="383">
        <f>+'1.a sz. Önkormányzat 2022. '!LF21</f>
        <v>0</v>
      </c>
      <c r="DX21" s="383">
        <f>+'1.a sz. Önkormányzat 2022. '!LG21</f>
        <v>0</v>
      </c>
      <c r="DY21" s="383">
        <f>+'1.a sz. Önkormányzat 2022. '!LH21</f>
        <v>0</v>
      </c>
      <c r="DZ21" s="679">
        <f t="shared" si="3"/>
        <v>295068529</v>
      </c>
      <c r="EA21" s="679">
        <f t="shared" si="4"/>
        <v>295068529</v>
      </c>
      <c r="EB21" s="676">
        <f t="shared" si="5"/>
        <v>91696060</v>
      </c>
      <c r="EC21" s="676">
        <f t="shared" si="6"/>
        <v>28291696060</v>
      </c>
      <c r="ED21" s="216" t="e">
        <f>+ED20-#REF!</f>
        <v>#REF!</v>
      </c>
    </row>
    <row r="22" spans="1:137" s="223" customFormat="1" ht="21.75" customHeight="1" x14ac:dyDescent="0.25">
      <c r="A22" s="208" t="s">
        <v>231</v>
      </c>
      <c r="B22" s="222" t="s">
        <v>179</v>
      </c>
      <c r="C22" s="219"/>
      <c r="D22" s="239"/>
      <c r="E22" s="239"/>
      <c r="F22" s="239"/>
      <c r="G22" s="239"/>
      <c r="H22" s="239"/>
      <c r="I22" s="239"/>
      <c r="J22" s="239"/>
      <c r="K22" s="239"/>
      <c r="L22" s="239"/>
      <c r="M22" s="239"/>
      <c r="N22" s="239"/>
      <c r="O22" s="239"/>
      <c r="P22" s="239"/>
      <c r="Q22" s="239"/>
      <c r="R22" s="239"/>
      <c r="S22" s="239"/>
      <c r="T22" s="239"/>
      <c r="U22" s="239"/>
      <c r="V22" s="239"/>
      <c r="W22" s="239"/>
      <c r="X22" s="239"/>
      <c r="Y22" s="260"/>
      <c r="Z22" s="260"/>
      <c r="AA22" s="260"/>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60"/>
      <c r="BG22" s="260"/>
      <c r="BH22" s="260"/>
      <c r="BI22" s="260"/>
      <c r="BJ22" s="260"/>
      <c r="BK22" s="260"/>
      <c r="BL22" s="260"/>
      <c r="BM22" s="260"/>
      <c r="BN22" s="260"/>
      <c r="BO22" s="260"/>
      <c r="BP22" s="260"/>
      <c r="BQ22" s="260"/>
      <c r="BR22" s="260"/>
      <c r="BS22" s="260"/>
      <c r="BT22" s="260"/>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368">
        <v>63513436</v>
      </c>
      <c r="CZ22" s="368">
        <f>63513436+44181211+8420273+15009215-67610699</f>
        <v>63513436</v>
      </c>
      <c r="DA22" s="368">
        <v>63513436</v>
      </c>
      <c r="DB22" s="248"/>
      <c r="DC22" s="248"/>
      <c r="DD22" s="248"/>
      <c r="DE22" s="248"/>
      <c r="DF22" s="248">
        <v>295068529</v>
      </c>
      <c r="DG22" s="248">
        <v>295068529</v>
      </c>
      <c r="DH22" s="248"/>
      <c r="DI22" s="248"/>
      <c r="DJ22" s="248"/>
      <c r="DK22" s="241">
        <f>SUMIFS('1.a sz. Önkormányzat 2022. '!D22:MH22,'1.a sz. Önkormányzat 2022. '!$D$4:$MH$4,"kötelező",'1.a sz. Önkormányzat 2022. '!$D$2:$MH$2,"Eredeti előirányzat")+SUMIFS(D22:DI22,$D$4:$DI$4,"kötelező",$D$2:$DI$2,"Eredeti előirányzat")</f>
        <v>0</v>
      </c>
      <c r="DL22" s="211">
        <f>+'1.a sz. Önkormányzat 2022. '!MY22+'1.b sz. Önkormányzat 2022.'!DZ22</f>
        <v>295068529</v>
      </c>
      <c r="DM22" s="678">
        <f>+'1.a sz. Önkormányzat 2022. '!MZ22+'1.b sz. Önkormányzat 2022.'!EA22</f>
        <v>295068529</v>
      </c>
      <c r="DN22" s="241">
        <f>SUMIFS('1.a sz. Önkormányzat 2022. '!D22:MM22,'1.a sz. Önkormányzat 2022. '!$D$4:$MM$4,"önként vállalt",'1.a sz. Önkormányzat 2022. '!$D$2:$MM$2,"Eredeti előirányzat")+SUMIFS(D22:DI22,$D$4:$DI$4,"önként vállalt",$D$2:$DI$2,"Eredeti előirányzat")</f>
        <v>63513436</v>
      </c>
      <c r="DO22" s="241">
        <f>+'1.a sz. Önkormányzat 2022. '!NA22+'1.b sz. Önkormányzat 2022.'!EB22</f>
        <v>63513436</v>
      </c>
      <c r="DP22" s="678">
        <f>+'1.a sz. Önkormányzat 2022. '!NB22+EC22</f>
        <v>63513436</v>
      </c>
      <c r="DQ22" s="241">
        <f>SUMIFS('1.a sz. Önkormányzat 2022. '!D22:MH22,'1.a sz. Önkormányzat 2022. '!$D$4:$MH$4,"államigazgatási",'1.a sz. Önkormányzat 2022. '!$D$2:$MH$2,"Eredeti előirányzat")+SUMIFS(D22:DI22,$D$4:$DI$4,"államigazgatási",$D$2:$DI$2,"Eredeti előirányzat")</f>
        <v>0</v>
      </c>
      <c r="DR22" s="241">
        <f>SUMIFS('1.a sz. Önkormányzat 2022. '!D22:MH22,'1.a sz. Önkormányzat 2022. '!$D$4:$MH$4,"államigazgatási",'1.a sz. Önkormányzat 2022. '!$D$2:$MH$2,"Módosított előirányzat")+SUMIFS(D22:DI22,$D$4:$DI$4,"államigazgatási",$D$2:$DI$2,"Módosított előirányzat")</f>
        <v>0</v>
      </c>
      <c r="DS22" s="241">
        <f>SUMIFS('1.a sz. Önkormányzat 2022. '!E22:MI22,'1.a sz. Önkormányzat 2022. '!$D$4:$MH$4,"államigazgatási",'1.a sz. Önkormányzat 2022. '!$D$2:$MH$2,"Módosított előirányzat")+SUMIFS(E22:DJ22,$D$4:$DI$4,"államigazgatási",$D$2:$DI$2,"Módosított előirányzat")</f>
        <v>0</v>
      </c>
      <c r="DT22" s="241">
        <f t="shared" si="1"/>
        <v>63513436</v>
      </c>
      <c r="DU22" s="241">
        <f t="shared" si="9"/>
        <v>358581965</v>
      </c>
      <c r="DV22" s="211">
        <f t="shared" si="2"/>
        <v>358581965</v>
      </c>
      <c r="DW22" s="383">
        <f>+'1.a sz. Önkormányzat 2022. '!LF22</f>
        <v>0</v>
      </c>
      <c r="DX22" s="383">
        <f>+'1.a sz. Önkormányzat 2022. '!LG22</f>
        <v>0</v>
      </c>
      <c r="DY22" s="383">
        <f>+'1.a sz. Önkormányzat 2022. '!LH22</f>
        <v>0</v>
      </c>
      <c r="DZ22" s="679">
        <f t="shared" si="3"/>
        <v>295068529</v>
      </c>
      <c r="EA22" s="679">
        <f t="shared" si="4"/>
        <v>295068529</v>
      </c>
      <c r="EB22" s="676">
        <f t="shared" si="5"/>
        <v>63513436</v>
      </c>
      <c r="EC22" s="676">
        <f t="shared" si="6"/>
        <v>63513436</v>
      </c>
    </row>
    <row r="23" spans="1:137" s="223" customFormat="1" ht="21.75" customHeight="1" x14ac:dyDescent="0.25">
      <c r="A23" s="208" t="s">
        <v>232</v>
      </c>
      <c r="B23" s="222" t="s">
        <v>520</v>
      </c>
      <c r="C23" s="219"/>
      <c r="D23" s="239"/>
      <c r="E23" s="239"/>
      <c r="F23" s="239"/>
      <c r="G23" s="239"/>
      <c r="H23" s="239"/>
      <c r="I23" s="239"/>
      <c r="J23" s="239"/>
      <c r="K23" s="239"/>
      <c r="L23" s="239"/>
      <c r="M23" s="239"/>
      <c r="N23" s="239"/>
      <c r="O23" s="239"/>
      <c r="P23" s="239"/>
      <c r="Q23" s="239"/>
      <c r="R23" s="239"/>
      <c r="S23" s="239"/>
      <c r="T23" s="239"/>
      <c r="U23" s="239"/>
      <c r="V23" s="239"/>
      <c r="W23" s="239"/>
      <c r="X23" s="239"/>
      <c r="Y23" s="260"/>
      <c r="Z23" s="260"/>
      <c r="AA23" s="260"/>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60"/>
      <c r="BG23" s="260"/>
      <c r="BH23" s="260"/>
      <c r="BI23" s="260"/>
      <c r="BJ23" s="260"/>
      <c r="BK23" s="260"/>
      <c r="BL23" s="260"/>
      <c r="BM23" s="260"/>
      <c r="BN23" s="260"/>
      <c r="BO23" s="260"/>
      <c r="BP23" s="260"/>
      <c r="BQ23" s="260"/>
      <c r="BR23" s="260"/>
      <c r="BS23" s="260"/>
      <c r="BT23" s="260"/>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48"/>
      <c r="DC23" s="248"/>
      <c r="DD23" s="248"/>
      <c r="DE23" s="248"/>
      <c r="DF23" s="248"/>
      <c r="DG23" s="248"/>
      <c r="DH23" s="248"/>
      <c r="DI23" s="248"/>
      <c r="DJ23" s="248"/>
      <c r="DK23" s="241">
        <f>SUMIFS('1.a sz. Önkormányzat 2022. '!D23:MH23,'1.a sz. Önkormányzat 2022. '!$D$4:$MH$4,"kötelező",'1.a sz. Önkormányzat 2022. '!$D$2:$MH$2,"Eredeti előirányzat")+SUMIFS(D23:DI23,$D$4:$DI$4,"kötelező",$D$2:$DI$2,"Eredeti előirányzat")</f>
        <v>3513510223</v>
      </c>
      <c r="DL23" s="211">
        <f>+'1.a sz. Önkormányzat 2022. '!MY23+'1.b sz. Önkormányzat 2022.'!DZ23</f>
        <v>3686246941</v>
      </c>
      <c r="DM23" s="678">
        <f>+'1.a sz. Önkormányzat 2022. '!MZ23+'1.b sz. Önkormányzat 2022.'!EA23</f>
        <v>3124258948</v>
      </c>
      <c r="DN23" s="241">
        <f>SUMIFS('1.a sz. Önkormányzat 2022. '!D23:MM23,'1.a sz. Önkormányzat 2022. '!$D$4:$MM$4,"önként vállalt",'1.a sz. Önkormányzat 2022. '!$D$2:$MM$2,"Eredeti előirányzat")+SUMIFS(D23:DI23,$D$4:$DI$4,"önként vállalt",$D$2:$DI$2,"Eredeti előirányzat")</f>
        <v>0</v>
      </c>
      <c r="DO23" s="241">
        <f>+'1.a sz. Önkormányzat 2022. '!NA23+'1.b sz. Önkormányzat 2022.'!EB23</f>
        <v>0</v>
      </c>
      <c r="DP23" s="678">
        <f>+'1.a sz. Önkormányzat 2022. '!NB23+EC23</f>
        <v>0</v>
      </c>
      <c r="DQ23" s="241">
        <f>SUMIFS('1.a sz. Önkormányzat 2022. '!D23:MH23,'1.a sz. Önkormányzat 2022. '!$D$4:$MH$4,"államigazgatási",'1.a sz. Önkormányzat 2022. '!$D$2:$MH$2,"Eredeti előirányzat")+SUMIFS(D23:DI23,$D$4:$DI$4,"államigazgatási",$D$2:$DI$2,"Eredeti előirányzat")</f>
        <v>0</v>
      </c>
      <c r="DR23" s="241">
        <f>SUMIFS('1.a sz. Önkormányzat 2022. '!D23:MH23,'1.a sz. Önkormányzat 2022. '!$D$4:$MH$4,"államigazgatási",'1.a sz. Önkormányzat 2022. '!$D$2:$MH$2,"Módosított előirányzat")+SUMIFS(D23:DI23,$D$4:$DI$4,"államigazgatási",$D$2:$DI$2,"Módosított előirányzat")</f>
        <v>0</v>
      </c>
      <c r="DS23" s="241">
        <f>SUMIFS('1.a sz. Önkormányzat 2022. '!E23:MI23,'1.a sz. Önkormányzat 2022. '!$D$4:$MH$4,"államigazgatási",'1.a sz. Önkormányzat 2022. '!$D$2:$MH$2,"Módosított előirányzat")+SUMIFS(E23:DJ23,$D$4:$DI$4,"államigazgatási",$D$2:$DI$2,"Módosított előirányzat")</f>
        <v>0</v>
      </c>
      <c r="DT23" s="241">
        <f t="shared" si="1"/>
        <v>3513510223</v>
      </c>
      <c r="DU23" s="241">
        <f t="shared" si="9"/>
        <v>3686246941</v>
      </c>
      <c r="DV23" s="211">
        <f t="shared" si="2"/>
        <v>3124258948</v>
      </c>
      <c r="DW23" s="383">
        <f>+'1.a sz. Önkormányzat 2022. '!LF23</f>
        <v>0</v>
      </c>
      <c r="DX23" s="383">
        <f>+'1.a sz. Önkormányzat 2022. '!LG23</f>
        <v>0</v>
      </c>
      <c r="DY23" s="383">
        <f>+'1.a sz. Önkormányzat 2022. '!LH23</f>
        <v>0</v>
      </c>
      <c r="DZ23" s="679">
        <f t="shared" si="3"/>
        <v>0</v>
      </c>
      <c r="EA23" s="679">
        <f t="shared" si="4"/>
        <v>0</v>
      </c>
      <c r="EB23" s="676">
        <f t="shared" si="5"/>
        <v>0</v>
      </c>
      <c r="EC23" s="676">
        <f t="shared" si="6"/>
        <v>0</v>
      </c>
    </row>
    <row r="24" spans="1:137" s="223" customFormat="1" ht="21.75" customHeight="1" x14ac:dyDescent="0.25">
      <c r="A24" s="208" t="s">
        <v>233</v>
      </c>
      <c r="B24" s="222" t="s">
        <v>521</v>
      </c>
      <c r="C24" s="219"/>
      <c r="D24" s="239"/>
      <c r="E24" s="239"/>
      <c r="F24" s="239"/>
      <c r="G24" s="239"/>
      <c r="H24" s="239"/>
      <c r="I24" s="239"/>
      <c r="J24" s="239"/>
      <c r="K24" s="239"/>
      <c r="L24" s="239"/>
      <c r="M24" s="239"/>
      <c r="N24" s="239"/>
      <c r="O24" s="239"/>
      <c r="P24" s="239"/>
      <c r="Q24" s="239"/>
      <c r="R24" s="239"/>
      <c r="S24" s="239"/>
      <c r="T24" s="239"/>
      <c r="U24" s="239"/>
      <c r="V24" s="239"/>
      <c r="W24" s="239"/>
      <c r="X24" s="239"/>
      <c r="Y24" s="260"/>
      <c r="Z24" s="260"/>
      <c r="AA24" s="260"/>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60"/>
      <c r="BG24" s="260"/>
      <c r="BH24" s="260"/>
      <c r="BI24" s="260"/>
      <c r="BJ24" s="260"/>
      <c r="BK24" s="260"/>
      <c r="BL24" s="260"/>
      <c r="BM24" s="260"/>
      <c r="BN24" s="260"/>
      <c r="BO24" s="260"/>
      <c r="BP24" s="260"/>
      <c r="BQ24" s="260"/>
      <c r="BR24" s="260"/>
      <c r="BS24" s="260"/>
      <c r="BT24" s="260"/>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48"/>
      <c r="DC24" s="248"/>
      <c r="DD24" s="248"/>
      <c r="DE24" s="248"/>
      <c r="DF24" s="248"/>
      <c r="DG24" s="248"/>
      <c r="DH24" s="248"/>
      <c r="DI24" s="248"/>
      <c r="DJ24" s="248"/>
      <c r="DK24" s="241">
        <f>SUMIFS('1.a sz. Önkormányzat 2022. '!D24:MH24,'1.a sz. Önkormányzat 2022. '!$D$4:$MH$4,"kötelező",'1.a sz. Önkormányzat 2022. '!$D$2:$MH$2,"Eredeti előirányzat")+SUMIFS(D24:DI24,$D$4:$DI$4,"kötelező",$D$2:$DI$2,"Eredeti előirányzat")</f>
        <v>62281820</v>
      </c>
      <c r="DL24" s="211">
        <f>+'1.a sz. Önkormányzat 2022. '!MY24+'1.b sz. Önkormányzat 2022.'!DZ24</f>
        <v>98501338</v>
      </c>
      <c r="DM24" s="678">
        <f>+'1.a sz. Önkormányzat 2022. '!MZ24+'1.b sz. Önkormányzat 2022.'!EA24</f>
        <v>98501338</v>
      </c>
      <c r="DN24" s="241">
        <f>SUMIFS('1.a sz. Önkormányzat 2022. '!D24:MM24,'1.a sz. Önkormányzat 2022. '!$D$4:$MM$4,"önként vállalt",'1.a sz. Önkormányzat 2022. '!$D$2:$MM$2,"Eredeti előirányzat")+SUMIFS(D24:DI24,$D$4:$DI$4,"önként vállalt",$D$2:$DI$2,"Eredeti előirányzat")</f>
        <v>0</v>
      </c>
      <c r="DO24" s="241">
        <f>+'1.a sz. Önkormányzat 2022. '!NA24+'1.b sz. Önkormányzat 2022.'!EB24</f>
        <v>0</v>
      </c>
      <c r="DP24" s="678">
        <f>+'1.a sz. Önkormányzat 2022. '!NB24+EC24</f>
        <v>0</v>
      </c>
      <c r="DQ24" s="241">
        <f>SUMIFS('1.a sz. Önkormányzat 2022. '!D24:MH24,'1.a sz. Önkormányzat 2022. '!$D$4:$MH$4,"államigazgatási",'1.a sz. Önkormányzat 2022. '!$D$2:$MH$2,"Eredeti előirányzat")+SUMIFS(D24:DI24,$D$4:$DI$4,"államigazgatási",$D$2:$DI$2,"Eredeti előirányzat")</f>
        <v>0</v>
      </c>
      <c r="DR24" s="241">
        <f>SUMIFS('1.a sz. Önkormányzat 2022. '!D24:MH24,'1.a sz. Önkormányzat 2022. '!$D$4:$MH$4,"államigazgatási",'1.a sz. Önkormányzat 2022. '!$D$2:$MH$2,"Módosított előirányzat")+SUMIFS(D24:DI24,$D$4:$DI$4,"államigazgatási",$D$2:$DI$2,"Módosított előirányzat")</f>
        <v>0</v>
      </c>
      <c r="DS24" s="241">
        <f>SUMIFS('1.a sz. Önkormányzat 2022. '!E24:MI24,'1.a sz. Önkormányzat 2022. '!$D$4:$MH$4,"államigazgatási",'1.a sz. Önkormányzat 2022. '!$D$2:$MH$2,"Módosított előirányzat")+SUMIFS(E24:DJ24,$D$4:$DI$4,"államigazgatási",$D$2:$DI$2,"Módosított előirányzat")</f>
        <v>0</v>
      </c>
      <c r="DT24" s="241">
        <f t="shared" si="1"/>
        <v>62281820</v>
      </c>
      <c r="DU24" s="241">
        <f t="shared" si="9"/>
        <v>98501338</v>
      </c>
      <c r="DV24" s="211">
        <f t="shared" si="2"/>
        <v>98501338</v>
      </c>
      <c r="DW24" s="383">
        <f>+'1.a sz. Önkormányzat 2022. '!LF24</f>
        <v>0</v>
      </c>
      <c r="DX24" s="383">
        <f>+'1.a sz. Önkormányzat 2022. '!LG24</f>
        <v>0</v>
      </c>
      <c r="DY24" s="383">
        <f>+'1.a sz. Önkormányzat 2022. '!LH24</f>
        <v>0</v>
      </c>
      <c r="DZ24" s="679">
        <f t="shared" si="3"/>
        <v>0</v>
      </c>
      <c r="EA24" s="679">
        <f t="shared" si="4"/>
        <v>0</v>
      </c>
      <c r="EB24" s="676">
        <f t="shared" si="5"/>
        <v>0</v>
      </c>
      <c r="EC24" s="676">
        <f t="shared" si="6"/>
        <v>0</v>
      </c>
    </row>
    <row r="25" spans="1:137" s="223" customFormat="1" ht="21.75" customHeight="1" x14ac:dyDescent="0.25">
      <c r="A25" s="208" t="s">
        <v>234</v>
      </c>
      <c r="B25" s="222" t="s">
        <v>123</v>
      </c>
      <c r="C25" s="219"/>
      <c r="D25" s="239"/>
      <c r="E25" s="239"/>
      <c r="F25" s="239"/>
      <c r="G25" s="239"/>
      <c r="H25" s="239"/>
      <c r="I25" s="239"/>
      <c r="J25" s="239"/>
      <c r="K25" s="239"/>
      <c r="L25" s="239"/>
      <c r="M25" s="239"/>
      <c r="N25" s="239"/>
      <c r="O25" s="239"/>
      <c r="P25" s="239"/>
      <c r="Q25" s="239"/>
      <c r="R25" s="239"/>
      <c r="S25" s="239"/>
      <c r="T25" s="239"/>
      <c r="U25" s="239"/>
      <c r="V25" s="239"/>
      <c r="W25" s="239"/>
      <c r="X25" s="239"/>
      <c r="Y25" s="260"/>
      <c r="Z25" s="260"/>
      <c r="AA25" s="260"/>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60"/>
      <c r="BG25" s="260"/>
      <c r="BH25" s="260"/>
      <c r="BI25" s="260"/>
      <c r="BJ25" s="260"/>
      <c r="BK25" s="260"/>
      <c r="BL25" s="260"/>
      <c r="BM25" s="260"/>
      <c r="BN25" s="260"/>
      <c r="BO25" s="260"/>
      <c r="BP25" s="260"/>
      <c r="BQ25" s="260"/>
      <c r="BR25" s="260"/>
      <c r="BS25" s="260"/>
      <c r="BT25" s="260"/>
      <c r="BU25" s="239"/>
      <c r="BV25" s="239"/>
      <c r="BW25" s="239"/>
      <c r="BX25" s="239"/>
      <c r="BY25" s="239"/>
      <c r="BZ25" s="239"/>
      <c r="CA25" s="239"/>
      <c r="CB25" s="239"/>
      <c r="CC25" s="239"/>
      <c r="CD25" s="239"/>
      <c r="CE25" s="239"/>
      <c r="CF25" s="239"/>
      <c r="CG25" s="239"/>
      <c r="CH25" s="239"/>
      <c r="CI25" s="239"/>
      <c r="CJ25" s="239"/>
      <c r="CK25" s="239"/>
      <c r="CL25" s="239"/>
      <c r="CM25" s="239"/>
      <c r="CN25" s="239"/>
      <c r="CO25" s="239"/>
      <c r="CP25" s="239"/>
      <c r="CQ25" s="239"/>
      <c r="CR25" s="239"/>
      <c r="CS25" s="239"/>
      <c r="CT25" s="239"/>
      <c r="CU25" s="239"/>
      <c r="CV25" s="239"/>
      <c r="CW25" s="239"/>
      <c r="CX25" s="239"/>
      <c r="CY25" s="368">
        <v>28182624</v>
      </c>
      <c r="CZ25" s="368">
        <v>28182624</v>
      </c>
      <c r="DA25" s="368">
        <v>28182624</v>
      </c>
      <c r="DB25" s="248"/>
      <c r="DC25" s="248"/>
      <c r="DD25" s="248"/>
      <c r="DE25" s="248"/>
      <c r="DF25" s="248"/>
      <c r="DG25" s="248"/>
      <c r="DH25" s="248"/>
      <c r="DI25" s="248"/>
      <c r="DJ25" s="248"/>
      <c r="DK25" s="241">
        <f>SUMIFS('1.a sz. Önkormányzat 2022. '!D25:MH25,'1.a sz. Önkormányzat 2022. '!$D$4:$MH$4,"kötelező",'1.a sz. Önkormányzat 2022. '!$D$2:$MH$2,"Eredeti előirányzat")+SUMIFS(D25:DI25,$D$4:$DI$4,"kötelező",$D$2:$DI$2,"Eredeti előirányzat")</f>
        <v>0</v>
      </c>
      <c r="DL25" s="211">
        <f>+'1.a sz. Önkormányzat 2022. '!MY25+'1.b sz. Önkormányzat 2022.'!DZ25</f>
        <v>0</v>
      </c>
      <c r="DM25" s="678">
        <f>+'1.a sz. Önkormányzat 2022. '!MZ25+'1.b sz. Önkormányzat 2022.'!EA25</f>
        <v>0</v>
      </c>
      <c r="DN25" s="241">
        <f>SUMIFS('1.a sz. Önkormányzat 2022. '!D25:MM25,'1.a sz. Önkormányzat 2022. '!$D$4:$MM$4,"önként vállalt",'1.a sz. Önkormányzat 2022. '!$D$2:$MM$2,"Eredeti előirányzat")+SUMIFS(D25:DI25,$D$4:$DI$4,"önként vállalt",$D$2:$DI$2,"Eredeti előirányzat")</f>
        <v>28182624</v>
      </c>
      <c r="DO25" s="241">
        <f>+'1.a sz. Önkormányzat 2022. '!NA25+'1.b sz. Önkormányzat 2022.'!EB25</f>
        <v>28182624</v>
      </c>
      <c r="DP25" s="678">
        <f>+'1.a sz. Önkormányzat 2022. '!NB25+EC25</f>
        <v>28182624</v>
      </c>
      <c r="DQ25" s="241">
        <f>SUMIFS('1.a sz. Önkormányzat 2022. '!D25:MH25,'1.a sz. Önkormányzat 2022. '!$D$4:$MH$4,"államigazgatási",'1.a sz. Önkormányzat 2022. '!$D$2:$MH$2,"Eredeti előirányzat")+SUMIFS(D25:DI25,$D$4:$DI$4,"államigazgatási",$D$2:$DI$2,"Eredeti előirányzat")</f>
        <v>0</v>
      </c>
      <c r="DR25" s="241">
        <f>SUMIFS('1.a sz. Önkormányzat 2022. '!D25:MH25,'1.a sz. Önkormányzat 2022. '!$D$4:$MH$4,"államigazgatási",'1.a sz. Önkormányzat 2022. '!$D$2:$MH$2,"Módosított előirányzat")+SUMIFS(D25:DI25,$D$4:$DI$4,"államigazgatási",$D$2:$DI$2,"Módosított előirányzat")</f>
        <v>0</v>
      </c>
      <c r="DS25" s="241">
        <f>SUMIFS('1.a sz. Önkormányzat 2022. '!E25:MI25,'1.a sz. Önkormányzat 2022. '!$D$4:$MH$4,"államigazgatási",'1.a sz. Önkormányzat 2022. '!$D$2:$MH$2,"Módosított előirányzat")+SUMIFS(E25:DJ25,$D$4:$DI$4,"államigazgatási",$D$2:$DI$2,"Módosított előirányzat")</f>
        <v>0</v>
      </c>
      <c r="DT25" s="241">
        <f t="shared" si="1"/>
        <v>28182624</v>
      </c>
      <c r="DU25" s="241">
        <f t="shared" si="9"/>
        <v>28182624</v>
      </c>
      <c r="DV25" s="211">
        <f t="shared" si="2"/>
        <v>28182624</v>
      </c>
      <c r="DW25" s="383">
        <f>+'1.a sz. Önkormányzat 2022. '!LF25</f>
        <v>0</v>
      </c>
      <c r="DX25" s="383">
        <f>+'1.a sz. Önkormányzat 2022. '!LG25</f>
        <v>0</v>
      </c>
      <c r="DY25" s="383">
        <f>+'1.a sz. Önkormányzat 2022. '!LH25</f>
        <v>0</v>
      </c>
      <c r="DZ25" s="679">
        <f t="shared" si="3"/>
        <v>0</v>
      </c>
      <c r="EA25" s="679">
        <f t="shared" si="4"/>
        <v>0</v>
      </c>
      <c r="EB25" s="676">
        <f t="shared" si="5"/>
        <v>28182624</v>
      </c>
      <c r="EC25" s="676">
        <f t="shared" si="6"/>
        <v>28182624</v>
      </c>
    </row>
    <row r="26" spans="1:137" s="223" customFormat="1" ht="21.75" customHeight="1" x14ac:dyDescent="0.25">
      <c r="A26" s="208" t="s">
        <v>235</v>
      </c>
      <c r="B26" s="222" t="s">
        <v>742</v>
      </c>
      <c r="C26" s="219"/>
      <c r="D26" s="239"/>
      <c r="E26" s="239"/>
      <c r="F26" s="239"/>
      <c r="G26" s="239"/>
      <c r="H26" s="239"/>
      <c r="I26" s="239"/>
      <c r="J26" s="239"/>
      <c r="K26" s="239"/>
      <c r="L26" s="239"/>
      <c r="M26" s="239"/>
      <c r="N26" s="239"/>
      <c r="O26" s="239"/>
      <c r="P26" s="239"/>
      <c r="Q26" s="239"/>
      <c r="R26" s="239"/>
      <c r="S26" s="239"/>
      <c r="T26" s="239"/>
      <c r="U26" s="239"/>
      <c r="V26" s="239"/>
      <c r="W26" s="239"/>
      <c r="X26" s="239"/>
      <c r="Y26" s="260"/>
      <c r="Z26" s="260"/>
      <c r="AA26" s="260"/>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60"/>
      <c r="BG26" s="260"/>
      <c r="BH26" s="260"/>
      <c r="BI26" s="260"/>
      <c r="BJ26" s="260"/>
      <c r="BK26" s="260"/>
      <c r="BL26" s="260"/>
      <c r="BM26" s="260"/>
      <c r="BN26" s="260"/>
      <c r="BO26" s="260"/>
      <c r="BP26" s="260"/>
      <c r="BQ26" s="260"/>
      <c r="BR26" s="260"/>
      <c r="BS26" s="260"/>
      <c r="BT26" s="260"/>
      <c r="BU26" s="239"/>
      <c r="BV26" s="239"/>
      <c r="BW26" s="239"/>
      <c r="BX26" s="239"/>
      <c r="BY26" s="239"/>
      <c r="BZ26" s="239"/>
      <c r="CA26" s="239"/>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v>28200000000</v>
      </c>
      <c r="DB26" s="248"/>
      <c r="DC26" s="248"/>
      <c r="DD26" s="248"/>
      <c r="DE26" s="248"/>
      <c r="DF26" s="248"/>
      <c r="DG26" s="248"/>
      <c r="DH26" s="248"/>
      <c r="DI26" s="248"/>
      <c r="DJ26" s="248"/>
      <c r="DK26" s="241">
        <f>SUMIFS('1.a sz. Önkormányzat 2022. '!D26:MH26,'1.a sz. Önkormányzat 2022. '!$D$4:$MH$4,"kötelező",'1.a sz. Önkormányzat 2022. '!$D$2:$MH$2,"Eredeti előirányzat")+SUMIFS(D26:DI26,$D$4:$DI$4,"kötelező",$D$2:$DI$2,"Eredeti előirányzat")</f>
        <v>0</v>
      </c>
      <c r="DL26" s="211">
        <f>+'1.a sz. Önkormányzat 2022. '!MY26+'1.b sz. Önkormányzat 2022.'!DZ26</f>
        <v>0</v>
      </c>
      <c r="DM26" s="678">
        <f>+'1.a sz. Önkormányzat 2022. '!MZ26+'1.b sz. Önkormányzat 2022.'!EA26</f>
        <v>0</v>
      </c>
      <c r="DN26" s="241">
        <f>SUMIFS('1.a sz. Önkormányzat 2022. '!D26:MM26,'1.a sz. Önkormányzat 2022. '!$D$4:$MM$4,"önként vállalt",'1.a sz. Önkormányzat 2022. '!$D$2:$MM$2,"Eredeti előirányzat")+SUMIFS(D26:DI26,$D$4:$DI$4,"önként vállalt",$D$2:$DI$2,"Eredeti előirányzat")</f>
        <v>0</v>
      </c>
      <c r="DO26" s="241">
        <f>+'1.a sz. Önkormányzat 2022. '!NA26+'1.b sz. Önkormányzat 2022.'!EB26</f>
        <v>0</v>
      </c>
      <c r="DP26" s="678">
        <f>+'1.a sz. Önkormányzat 2022. '!NB26+EC26</f>
        <v>28200000000</v>
      </c>
      <c r="DQ26" s="241">
        <f>SUMIFS('1.a sz. Önkormányzat 2022. '!D26:MH26,'1.a sz. Önkormányzat 2022. '!$D$4:$MH$4,"államigazgatási",'1.a sz. Önkormányzat 2022. '!$D$2:$MH$2,"Eredeti előirányzat")+SUMIFS(D26:DI26,$D$4:$DI$4,"államigazgatási",$D$2:$DI$2,"Eredeti előirányzat")</f>
        <v>0</v>
      </c>
      <c r="DR26" s="241">
        <f>SUMIFS('1.a sz. Önkormányzat 2022. '!D26:MH26,'1.a sz. Önkormányzat 2022. '!$D$4:$MH$4,"államigazgatási",'1.a sz. Önkormányzat 2022. '!$D$2:$MH$2,"Módosított előirányzat")+SUMIFS(D26:DI26,$D$4:$DI$4,"államigazgatási",$D$2:$DI$2,"Módosított előirányzat")</f>
        <v>0</v>
      </c>
      <c r="DS26" s="241">
        <f>SUMIFS('1.a sz. Önkormányzat 2022. '!E26:MI26,'1.a sz. Önkormányzat 2022. '!$D$4:$MH$4,"államigazgatási",'1.a sz. Önkormányzat 2022. '!$D$2:$MH$2,"Módosított előirányzat")+SUMIFS(E26:DJ26,$D$4:$DI$4,"államigazgatási",$D$2:$DI$2,"Módosított előirányzat")</f>
        <v>0</v>
      </c>
      <c r="DT26" s="241">
        <f t="shared" si="1"/>
        <v>0</v>
      </c>
      <c r="DU26" s="241">
        <f t="shared" si="9"/>
        <v>0</v>
      </c>
      <c r="DV26" s="211">
        <f t="shared" si="2"/>
        <v>28200000000</v>
      </c>
      <c r="DW26" s="383">
        <f>+'1.a sz. Önkormányzat 2022. '!LF26</f>
        <v>0</v>
      </c>
      <c r="DX26" s="383">
        <f>+'1.a sz. Önkormányzat 2022. '!LG26</f>
        <v>0</v>
      </c>
      <c r="DY26" s="383">
        <f>+'1.a sz. Önkormányzat 2022. '!LH26</f>
        <v>0</v>
      </c>
      <c r="DZ26" s="679">
        <f t="shared" si="3"/>
        <v>0</v>
      </c>
      <c r="EA26" s="679">
        <f t="shared" si="4"/>
        <v>0</v>
      </c>
      <c r="EB26" s="676">
        <f t="shared" si="5"/>
        <v>0</v>
      </c>
      <c r="EC26" s="676">
        <f t="shared" si="6"/>
        <v>28200000000</v>
      </c>
    </row>
    <row r="27" spans="1:137" s="298" customFormat="1" ht="21.75" customHeight="1" x14ac:dyDescent="0.25">
      <c r="A27" s="295" t="s">
        <v>236</v>
      </c>
      <c r="B27" s="296" t="s">
        <v>32</v>
      </c>
      <c r="C27" s="297"/>
      <c r="D27" s="229">
        <f>+D8+D9+D10+D11+D13+D14+D22+D23+D15+D26</f>
        <v>23000000</v>
      </c>
      <c r="E27" s="229">
        <f t="shared" ref="E27:DE27" si="14">+E8+E9+E10+E11+E13+E14+E22+E23+E15+E26</f>
        <v>16819430</v>
      </c>
      <c r="F27" s="229">
        <f t="shared" si="14"/>
        <v>12780226</v>
      </c>
      <c r="G27" s="229">
        <f t="shared" si="14"/>
        <v>1500000</v>
      </c>
      <c r="H27" s="229">
        <f t="shared" si="14"/>
        <v>1500000</v>
      </c>
      <c r="I27" s="229">
        <f t="shared" si="14"/>
        <v>0</v>
      </c>
      <c r="J27" s="229">
        <f t="shared" si="14"/>
        <v>2300000</v>
      </c>
      <c r="K27" s="229">
        <f t="shared" si="14"/>
        <v>2300000</v>
      </c>
      <c r="L27" s="229">
        <f t="shared" si="14"/>
        <v>915970</v>
      </c>
      <c r="M27" s="229">
        <f t="shared" si="14"/>
        <v>2000000</v>
      </c>
      <c r="N27" s="229">
        <f t="shared" si="14"/>
        <v>2000000</v>
      </c>
      <c r="O27" s="229">
        <f t="shared" si="14"/>
        <v>326340</v>
      </c>
      <c r="P27" s="229">
        <f t="shared" si="14"/>
        <v>3000000</v>
      </c>
      <c r="Q27" s="229">
        <f t="shared" si="14"/>
        <v>3000000</v>
      </c>
      <c r="R27" s="229">
        <f t="shared" si="14"/>
        <v>1702500</v>
      </c>
      <c r="S27" s="229">
        <f t="shared" si="14"/>
        <v>4000000</v>
      </c>
      <c r="T27" s="229">
        <f t="shared" si="14"/>
        <v>4000000</v>
      </c>
      <c r="U27" s="229">
        <f t="shared" si="14"/>
        <v>3675056</v>
      </c>
      <c r="V27" s="229">
        <f t="shared" si="14"/>
        <v>500000</v>
      </c>
      <c r="W27" s="229">
        <f t="shared" si="14"/>
        <v>500000</v>
      </c>
      <c r="X27" s="229">
        <f t="shared" si="14"/>
        <v>33651</v>
      </c>
      <c r="Y27" s="229">
        <f t="shared" si="14"/>
        <v>0</v>
      </c>
      <c r="Z27" s="229">
        <f t="shared" si="14"/>
        <v>0</v>
      </c>
      <c r="AA27" s="229">
        <f t="shared" si="14"/>
        <v>0</v>
      </c>
      <c r="AB27" s="229">
        <f t="shared" si="14"/>
        <v>500000</v>
      </c>
      <c r="AC27" s="229">
        <f t="shared" si="14"/>
        <v>500000</v>
      </c>
      <c r="AD27" s="229">
        <f t="shared" si="14"/>
        <v>70000</v>
      </c>
      <c r="AE27" s="229">
        <f t="shared" si="14"/>
        <v>200000</v>
      </c>
      <c r="AF27" s="229">
        <f t="shared" si="14"/>
        <v>200000</v>
      </c>
      <c r="AG27" s="229">
        <f t="shared" si="14"/>
        <v>0</v>
      </c>
      <c r="AH27" s="229">
        <f t="shared" si="14"/>
        <v>0</v>
      </c>
      <c r="AI27" s="229">
        <f t="shared" si="14"/>
        <v>1000000</v>
      </c>
      <c r="AJ27" s="229">
        <f t="shared" si="14"/>
        <v>0</v>
      </c>
      <c r="AK27" s="229">
        <f t="shared" si="14"/>
        <v>7000000</v>
      </c>
      <c r="AL27" s="229">
        <f t="shared" si="14"/>
        <v>7000000</v>
      </c>
      <c r="AM27" s="229">
        <f t="shared" si="14"/>
        <v>5269145</v>
      </c>
      <c r="AN27" s="229">
        <f t="shared" si="14"/>
        <v>0</v>
      </c>
      <c r="AO27" s="229">
        <f t="shared" si="14"/>
        <v>9000000</v>
      </c>
      <c r="AP27" s="229">
        <f t="shared" si="14"/>
        <v>7041241</v>
      </c>
      <c r="AQ27" s="229">
        <f t="shared" si="14"/>
        <v>0</v>
      </c>
      <c r="AR27" s="229">
        <f t="shared" si="14"/>
        <v>0</v>
      </c>
      <c r="AS27" s="229">
        <f t="shared" si="14"/>
        <v>0</v>
      </c>
      <c r="AT27" s="229">
        <f t="shared" si="14"/>
        <v>0</v>
      </c>
      <c r="AU27" s="229">
        <f t="shared" si="14"/>
        <v>0</v>
      </c>
      <c r="AV27" s="229">
        <f t="shared" si="14"/>
        <v>0</v>
      </c>
      <c r="AW27" s="229">
        <f t="shared" si="14"/>
        <v>0</v>
      </c>
      <c r="AX27" s="229">
        <f t="shared" si="14"/>
        <v>34006</v>
      </c>
      <c r="AY27" s="229">
        <f t="shared" si="14"/>
        <v>34006</v>
      </c>
      <c r="AZ27" s="229">
        <f t="shared" si="14"/>
        <v>7047905</v>
      </c>
      <c r="BA27" s="229">
        <f t="shared" si="14"/>
        <v>7047905</v>
      </c>
      <c r="BB27" s="229">
        <f t="shared" si="14"/>
        <v>7047905</v>
      </c>
      <c r="BC27" s="229">
        <f t="shared" si="14"/>
        <v>117853492</v>
      </c>
      <c r="BD27" s="229">
        <f t="shared" si="14"/>
        <v>116217201</v>
      </c>
      <c r="BE27" s="229">
        <f t="shared" si="14"/>
        <v>116217201</v>
      </c>
      <c r="BF27" s="258">
        <f t="shared" si="14"/>
        <v>3220000</v>
      </c>
      <c r="BG27" s="258">
        <f t="shared" si="14"/>
        <v>3957452</v>
      </c>
      <c r="BH27" s="258">
        <f t="shared" si="14"/>
        <v>3957452</v>
      </c>
      <c r="BI27" s="258">
        <f t="shared" si="14"/>
        <v>0</v>
      </c>
      <c r="BJ27" s="258">
        <f t="shared" si="14"/>
        <v>5005000</v>
      </c>
      <c r="BK27" s="258">
        <f t="shared" si="14"/>
        <v>5005000</v>
      </c>
      <c r="BL27" s="258">
        <f t="shared" si="14"/>
        <v>0</v>
      </c>
      <c r="BM27" s="258">
        <f t="shared" si="14"/>
        <v>0</v>
      </c>
      <c r="BN27" s="258">
        <f t="shared" si="14"/>
        <v>0</v>
      </c>
      <c r="BO27" s="258">
        <f t="shared" si="14"/>
        <v>2590000</v>
      </c>
      <c r="BP27" s="258">
        <f t="shared" si="14"/>
        <v>14020000</v>
      </c>
      <c r="BQ27" s="258">
        <f t="shared" si="14"/>
        <v>13920000</v>
      </c>
      <c r="BR27" s="258">
        <f t="shared" si="14"/>
        <v>0</v>
      </c>
      <c r="BS27" s="258">
        <f t="shared" si="14"/>
        <v>1770000</v>
      </c>
      <c r="BT27" s="258">
        <f t="shared" si="14"/>
        <v>1770000</v>
      </c>
      <c r="BU27" s="229">
        <f t="shared" si="14"/>
        <v>3080000</v>
      </c>
      <c r="BV27" s="229">
        <f t="shared" si="14"/>
        <v>3080000</v>
      </c>
      <c r="BW27" s="229">
        <f t="shared" si="14"/>
        <v>3080000</v>
      </c>
      <c r="BX27" s="229">
        <f t="shared" si="14"/>
        <v>0</v>
      </c>
      <c r="BY27" s="229">
        <f t="shared" si="14"/>
        <v>3375000</v>
      </c>
      <c r="BZ27" s="229">
        <f t="shared" si="14"/>
        <v>3375000</v>
      </c>
      <c r="CA27" s="229">
        <f t="shared" si="14"/>
        <v>86632393</v>
      </c>
      <c r="CB27" s="229">
        <f t="shared" si="14"/>
        <v>114318393</v>
      </c>
      <c r="CC27" s="229">
        <f t="shared" si="14"/>
        <v>104896789</v>
      </c>
      <c r="CD27" s="229">
        <f t="shared" si="14"/>
        <v>4000000</v>
      </c>
      <c r="CE27" s="229">
        <f t="shared" si="14"/>
        <v>4000000</v>
      </c>
      <c r="CF27" s="229">
        <f t="shared" si="14"/>
        <v>3900000</v>
      </c>
      <c r="CG27" s="229">
        <f t="shared" si="14"/>
        <v>26600000</v>
      </c>
      <c r="CH27" s="229">
        <f t="shared" si="14"/>
        <v>26600000</v>
      </c>
      <c r="CI27" s="229">
        <f t="shared" si="14"/>
        <v>26600000</v>
      </c>
      <c r="CJ27" s="229">
        <f t="shared" si="14"/>
        <v>43128880</v>
      </c>
      <c r="CK27" s="229">
        <f t="shared" si="14"/>
        <v>47128880</v>
      </c>
      <c r="CL27" s="229">
        <f t="shared" si="14"/>
        <v>45636203</v>
      </c>
      <c r="CM27" s="229">
        <f t="shared" si="14"/>
        <v>29656000</v>
      </c>
      <c r="CN27" s="229">
        <f t="shared" si="14"/>
        <v>29656004</v>
      </c>
      <c r="CO27" s="229">
        <f t="shared" si="14"/>
        <v>27826925</v>
      </c>
      <c r="CP27" s="229">
        <f t="shared" si="14"/>
        <v>1487500</v>
      </c>
      <c r="CQ27" s="229">
        <f t="shared" si="14"/>
        <v>1487500</v>
      </c>
      <c r="CR27" s="229">
        <f t="shared" si="14"/>
        <v>962500</v>
      </c>
      <c r="CS27" s="229">
        <f t="shared" si="14"/>
        <v>210500</v>
      </c>
      <c r="CT27" s="229">
        <f t="shared" si="14"/>
        <v>1390500</v>
      </c>
      <c r="CU27" s="229">
        <f t="shared" si="14"/>
        <v>1390500</v>
      </c>
      <c r="CV27" s="229">
        <f>+CV8+CV9+CV10+CV11+CV13+CV14+CV22+CV23+CV15+CV26</f>
        <v>0</v>
      </c>
      <c r="CW27" s="229">
        <f>+CW8+CW9+CW10+CW11+CW13+CW14+CW22+CW23+CW15+CW26</f>
        <v>0</v>
      </c>
      <c r="CX27" s="229">
        <f>+CX8+CX9+CX10+CX11+CX13+CX14+CX22+CX23+CX15+CX26</f>
        <v>0</v>
      </c>
      <c r="CY27" s="229">
        <f t="shared" si="14"/>
        <v>103513436</v>
      </c>
      <c r="CZ27" s="229">
        <f t="shared" si="14"/>
        <v>103515355</v>
      </c>
      <c r="DA27" s="229">
        <f t="shared" si="14"/>
        <v>28287703118</v>
      </c>
      <c r="DB27" s="229">
        <f t="shared" si="14"/>
        <v>0</v>
      </c>
      <c r="DC27" s="229">
        <f t="shared" si="14"/>
        <v>0</v>
      </c>
      <c r="DD27" s="229">
        <f t="shared" si="14"/>
        <v>0</v>
      </c>
      <c r="DE27" s="229">
        <f t="shared" si="14"/>
        <v>0</v>
      </c>
      <c r="DF27" s="229">
        <f>+DF8+DF9+DF10+DF11+DF13+DF14+DF22+DF23+DF15+DF26</f>
        <v>295068529</v>
      </c>
      <c r="DG27" s="229">
        <f>+DG8+DG9+DG10+DG11+DG13+DG14+DG22+DG23+DG15+DG26</f>
        <v>295068529</v>
      </c>
      <c r="DH27" s="229">
        <f>+DH8+DH9+DH10+DH11+DH13+DH14+DH22+DH23+DH15+DH26</f>
        <v>0</v>
      </c>
      <c r="DI27" s="229">
        <f>+DI8+DI9+DI10+DI11+DI13+DI14+DI22+DI23+DI15+DI26</f>
        <v>0</v>
      </c>
      <c r="DJ27" s="229">
        <f>+DJ8+DJ9+DJ10+DJ11+DJ13+DJ14+DJ22+DJ23+DJ15+DJ26</f>
        <v>0</v>
      </c>
      <c r="DK27" s="240">
        <f>SUMIFS('1.a sz. Önkormányzat 2022. '!D27:MH27,'1.a sz. Önkormányzat 2022. '!$D$4:$MH$4,"kötelező",'1.a sz. Önkormányzat 2022. '!$D$2:$MH$2,"Eredeti előirányzat")+SUMIFS(D27:DI27,$D$4:$DI$4,"kötelező",$D$2:$DI$2,"Eredeti előirányzat")</f>
        <v>7645107524</v>
      </c>
      <c r="DL27" s="261">
        <f>+'1.a sz. Önkormányzat 2022. '!MY27+'1.b sz. Önkormányzat 2022.'!DZ27</f>
        <v>9572217014</v>
      </c>
      <c r="DM27" s="752">
        <f>+'1.a sz. Önkormányzat 2022. '!MZ27+'1.b sz. Önkormányzat 2022.'!EA27</f>
        <v>6747115877</v>
      </c>
      <c r="DN27" s="240">
        <f>SUMIFS('1.a sz. Önkormányzat 2022. '!D27:MM27,'1.a sz. Önkormányzat 2022. '!$D$4:$MM$4,"önként vállalt",'1.a sz. Önkormányzat 2022. '!$D$2:$MM$2,"Eredeti előirányzat")+SUMIFS(D27:DI27,$D$4:$DI$4,"önként vállalt",$D$2:$DI$2,"Eredeti előirányzat")</f>
        <v>589486151</v>
      </c>
      <c r="DO27" s="240">
        <f>+'1.a sz. Önkormányzat 2022. '!NA27+'1.b sz. Önkormányzat 2022.'!EB27</f>
        <v>767166389</v>
      </c>
      <c r="DP27" s="752">
        <f>+'1.a sz. Önkormányzat 2022. '!NB27+EC27</f>
        <v>28870523860</v>
      </c>
      <c r="DQ27" s="240">
        <f>SUMIFS('1.a sz. Önkormányzat 2022. '!D27:MH27,'1.a sz. Önkormányzat 2022. '!$D$4:$MH$4,"államigazgatási",'1.a sz. Önkormányzat 2022. '!$D$2:$MH$2,"Eredeti előirányzat")+SUMIFS(D27:DI27,$D$4:$DI$4,"államigazgatási",$D$2:$DI$2,"Eredeti előirányzat")</f>
        <v>0</v>
      </c>
      <c r="DR27" s="240">
        <f>SUMIFS('1.a sz. Önkormányzat 2022. '!D27:MH27,'1.a sz. Önkormányzat 2022. '!$D$4:$MH$4,"államigazgatási",'1.a sz. Önkormányzat 2022. '!$D$2:$MH$2,"Módosított előirányzat")+SUMIFS(D27:DI27,$D$4:$DI$4,"államigazgatási",$D$2:$DI$2,"Módosított előirányzat")</f>
        <v>0</v>
      </c>
      <c r="DS27" s="240">
        <f>SUMIFS('1.a sz. Önkormányzat 2022. '!E27:MI27,'1.a sz. Önkormányzat 2022. '!$D$4:$MH$4,"államigazgatási",'1.a sz. Önkormányzat 2022. '!$D$2:$MH$2,"Módosított előirányzat")+SUMIFS(E27:DJ27,$D$4:$DI$4,"államigazgatási",$D$2:$DI$2,"Módosított előirányzat")</f>
        <v>0</v>
      </c>
      <c r="DT27" s="240">
        <f t="shared" si="1"/>
        <v>8234593675</v>
      </c>
      <c r="DU27" s="240">
        <f t="shared" si="9"/>
        <v>10339383403</v>
      </c>
      <c r="DV27" s="261">
        <f t="shared" si="2"/>
        <v>35617639737</v>
      </c>
      <c r="DW27" s="383">
        <f>+'1.a sz. Önkormányzat 2022. '!LF27</f>
        <v>0</v>
      </c>
      <c r="DX27" s="383">
        <f>+'1.a sz. Önkormányzat 2022. '!LG27</f>
        <v>8146942</v>
      </c>
      <c r="DY27" s="383">
        <f>+'1.a sz. Önkormányzat 2022. '!LH27</f>
        <v>7985044</v>
      </c>
      <c r="DZ27" s="679">
        <f t="shared" si="3"/>
        <v>486862356</v>
      </c>
      <c r="EA27" s="679">
        <f t="shared" si="4"/>
        <v>459606372</v>
      </c>
      <c r="EB27" s="676">
        <f t="shared" si="5"/>
        <v>338628799</v>
      </c>
      <c r="EC27" s="676">
        <f t="shared" si="6"/>
        <v>28520598885</v>
      </c>
    </row>
    <row r="28" spans="1:137" s="298" customFormat="1" ht="21.75" customHeight="1" x14ac:dyDescent="0.25">
      <c r="A28" s="295" t="s">
        <v>261</v>
      </c>
      <c r="B28" s="296" t="s">
        <v>33</v>
      </c>
      <c r="C28" s="297"/>
      <c r="D28" s="229">
        <f>+D16+D17+D18+D24+D25</f>
        <v>0</v>
      </c>
      <c r="E28" s="229">
        <f t="shared" ref="E28:DE28" si="15">+E16+E17+E18+E24+E25</f>
        <v>0</v>
      </c>
      <c r="F28" s="229">
        <f t="shared" si="15"/>
        <v>0</v>
      </c>
      <c r="G28" s="229">
        <f t="shared" si="15"/>
        <v>0</v>
      </c>
      <c r="H28" s="229">
        <f t="shared" si="15"/>
        <v>0</v>
      </c>
      <c r="I28" s="229">
        <f t="shared" si="15"/>
        <v>0</v>
      </c>
      <c r="J28" s="229">
        <f t="shared" si="15"/>
        <v>0</v>
      </c>
      <c r="K28" s="229">
        <f t="shared" si="15"/>
        <v>0</v>
      </c>
      <c r="L28" s="229">
        <f t="shared" si="15"/>
        <v>0</v>
      </c>
      <c r="M28" s="229">
        <f t="shared" si="15"/>
        <v>0</v>
      </c>
      <c r="N28" s="229">
        <f t="shared" si="15"/>
        <v>0</v>
      </c>
      <c r="O28" s="229">
        <f t="shared" si="15"/>
        <v>0</v>
      </c>
      <c r="P28" s="229">
        <f t="shared" si="15"/>
        <v>0</v>
      </c>
      <c r="Q28" s="229">
        <f t="shared" si="15"/>
        <v>0</v>
      </c>
      <c r="R28" s="229">
        <f t="shared" si="15"/>
        <v>0</v>
      </c>
      <c r="S28" s="229">
        <f t="shared" si="15"/>
        <v>0</v>
      </c>
      <c r="T28" s="229">
        <f t="shared" si="15"/>
        <v>0</v>
      </c>
      <c r="U28" s="229">
        <f t="shared" si="15"/>
        <v>0</v>
      </c>
      <c r="V28" s="229">
        <f t="shared" si="15"/>
        <v>0</v>
      </c>
      <c r="W28" s="229">
        <f t="shared" si="15"/>
        <v>0</v>
      </c>
      <c r="X28" s="229">
        <f t="shared" si="15"/>
        <v>0</v>
      </c>
      <c r="Y28" s="229">
        <f t="shared" si="15"/>
        <v>0</v>
      </c>
      <c r="Z28" s="229">
        <f t="shared" si="15"/>
        <v>0</v>
      </c>
      <c r="AA28" s="229">
        <f t="shared" si="15"/>
        <v>0</v>
      </c>
      <c r="AB28" s="229">
        <f t="shared" si="15"/>
        <v>0</v>
      </c>
      <c r="AC28" s="229">
        <f t="shared" si="15"/>
        <v>0</v>
      </c>
      <c r="AD28" s="229">
        <f t="shared" si="15"/>
        <v>0</v>
      </c>
      <c r="AE28" s="229">
        <f t="shared" si="15"/>
        <v>0</v>
      </c>
      <c r="AF28" s="229">
        <f t="shared" si="15"/>
        <v>0</v>
      </c>
      <c r="AG28" s="229">
        <f t="shared" si="15"/>
        <v>0</v>
      </c>
      <c r="AH28" s="229">
        <f t="shared" si="15"/>
        <v>0</v>
      </c>
      <c r="AI28" s="229">
        <f t="shared" si="15"/>
        <v>0</v>
      </c>
      <c r="AJ28" s="229">
        <f t="shared" si="15"/>
        <v>0</v>
      </c>
      <c r="AK28" s="229">
        <f t="shared" si="15"/>
        <v>0</v>
      </c>
      <c r="AL28" s="229">
        <f t="shared" si="15"/>
        <v>0</v>
      </c>
      <c r="AM28" s="229">
        <f t="shared" si="15"/>
        <v>0</v>
      </c>
      <c r="AN28" s="229">
        <f t="shared" si="15"/>
        <v>0</v>
      </c>
      <c r="AO28" s="229">
        <f t="shared" si="15"/>
        <v>0</v>
      </c>
      <c r="AP28" s="229">
        <f t="shared" si="15"/>
        <v>0</v>
      </c>
      <c r="AQ28" s="229">
        <f t="shared" si="15"/>
        <v>6500000</v>
      </c>
      <c r="AR28" s="229">
        <f t="shared" si="15"/>
        <v>1161940</v>
      </c>
      <c r="AS28" s="229">
        <f t="shared" si="15"/>
        <v>1033200</v>
      </c>
      <c r="AT28" s="229">
        <f t="shared" si="15"/>
        <v>4000000</v>
      </c>
      <c r="AU28" s="229">
        <f t="shared" si="15"/>
        <v>4000000</v>
      </c>
      <c r="AV28" s="229">
        <f t="shared" si="15"/>
        <v>0</v>
      </c>
      <c r="AW28" s="229">
        <f t="shared" si="15"/>
        <v>0</v>
      </c>
      <c r="AX28" s="229">
        <f t="shared" si="15"/>
        <v>65994</v>
      </c>
      <c r="AY28" s="229">
        <f t="shared" si="15"/>
        <v>65994</v>
      </c>
      <c r="AZ28" s="229">
        <f t="shared" si="15"/>
        <v>0</v>
      </c>
      <c r="BA28" s="229">
        <f t="shared" si="15"/>
        <v>0</v>
      </c>
      <c r="BB28" s="229">
        <f t="shared" si="15"/>
        <v>0</v>
      </c>
      <c r="BC28" s="229">
        <f t="shared" si="15"/>
        <v>0</v>
      </c>
      <c r="BD28" s="229">
        <f t="shared" si="15"/>
        <v>1636291</v>
      </c>
      <c r="BE28" s="229">
        <f t="shared" si="15"/>
        <v>1636291</v>
      </c>
      <c r="BF28" s="258">
        <f t="shared" si="15"/>
        <v>0</v>
      </c>
      <c r="BG28" s="258">
        <f t="shared" si="15"/>
        <v>960000</v>
      </c>
      <c r="BH28" s="258">
        <f t="shared" si="15"/>
        <v>960000</v>
      </c>
      <c r="BI28" s="258">
        <f t="shared" si="15"/>
        <v>0</v>
      </c>
      <c r="BJ28" s="258">
        <f t="shared" si="15"/>
        <v>0</v>
      </c>
      <c r="BK28" s="258">
        <f t="shared" si="15"/>
        <v>0</v>
      </c>
      <c r="BL28" s="258">
        <f t="shared" si="15"/>
        <v>0</v>
      </c>
      <c r="BM28" s="258">
        <f t="shared" si="15"/>
        <v>0</v>
      </c>
      <c r="BN28" s="258">
        <f t="shared" si="15"/>
        <v>0</v>
      </c>
      <c r="BO28" s="258">
        <f t="shared" si="15"/>
        <v>0</v>
      </c>
      <c r="BP28" s="258">
        <f t="shared" si="15"/>
        <v>0</v>
      </c>
      <c r="BQ28" s="258">
        <f t="shared" si="15"/>
        <v>0</v>
      </c>
      <c r="BR28" s="258">
        <f t="shared" si="15"/>
        <v>0</v>
      </c>
      <c r="BS28" s="258">
        <f t="shared" si="15"/>
        <v>0</v>
      </c>
      <c r="BT28" s="258">
        <f t="shared" si="15"/>
        <v>0</v>
      </c>
      <c r="BU28" s="229">
        <f t="shared" si="15"/>
        <v>1320000</v>
      </c>
      <c r="BV28" s="229">
        <f t="shared" si="15"/>
        <v>1320000</v>
      </c>
      <c r="BW28" s="229">
        <f t="shared" si="15"/>
        <v>1320000</v>
      </c>
      <c r="BX28" s="229">
        <f t="shared" si="15"/>
        <v>0</v>
      </c>
      <c r="BY28" s="229">
        <f t="shared" si="15"/>
        <v>0</v>
      </c>
      <c r="BZ28" s="229">
        <f t="shared" si="15"/>
        <v>0</v>
      </c>
      <c r="CA28" s="229">
        <f t="shared" si="15"/>
        <v>3000000</v>
      </c>
      <c r="CB28" s="229">
        <f t="shared" si="15"/>
        <v>3000000</v>
      </c>
      <c r="CC28" s="229">
        <f t="shared" si="15"/>
        <v>3000000</v>
      </c>
      <c r="CD28" s="229">
        <f t="shared" si="15"/>
        <v>0</v>
      </c>
      <c r="CE28" s="229">
        <f t="shared" si="15"/>
        <v>0</v>
      </c>
      <c r="CF28" s="229">
        <f t="shared" si="15"/>
        <v>0</v>
      </c>
      <c r="CG28" s="229">
        <f t="shared" si="15"/>
        <v>0</v>
      </c>
      <c r="CH28" s="229">
        <f t="shared" si="15"/>
        <v>0</v>
      </c>
      <c r="CI28" s="229">
        <f t="shared" si="15"/>
        <v>0</v>
      </c>
      <c r="CJ28" s="229">
        <f t="shared" si="15"/>
        <v>0</v>
      </c>
      <c r="CK28" s="229">
        <f t="shared" si="15"/>
        <v>0</v>
      </c>
      <c r="CL28" s="229">
        <f t="shared" si="15"/>
        <v>0</v>
      </c>
      <c r="CM28" s="229">
        <f t="shared" si="15"/>
        <v>0</v>
      </c>
      <c r="CN28" s="229">
        <f t="shared" si="15"/>
        <v>0</v>
      </c>
      <c r="CO28" s="229">
        <f t="shared" si="15"/>
        <v>0</v>
      </c>
      <c r="CP28" s="229">
        <f t="shared" si="15"/>
        <v>0</v>
      </c>
      <c r="CQ28" s="229">
        <f t="shared" si="15"/>
        <v>0</v>
      </c>
      <c r="CR28" s="229">
        <f t="shared" si="15"/>
        <v>0</v>
      </c>
      <c r="CS28" s="229">
        <f t="shared" si="15"/>
        <v>0</v>
      </c>
      <c r="CT28" s="229">
        <f t="shared" si="15"/>
        <v>2570000</v>
      </c>
      <c r="CU28" s="229">
        <f t="shared" si="15"/>
        <v>1570000</v>
      </c>
      <c r="CV28" s="229">
        <f>+CV16+CV17+CV18+CV24+CV25</f>
        <v>0</v>
      </c>
      <c r="CW28" s="229">
        <f>+CW16+CW17+CW18+CW24+CW25</f>
        <v>1554735</v>
      </c>
      <c r="CX28" s="229">
        <f>+CX16+CX17+CX18+CX24+CX25</f>
        <v>1554735</v>
      </c>
      <c r="CY28" s="229">
        <f t="shared" si="15"/>
        <v>28182624</v>
      </c>
      <c r="CZ28" s="229">
        <f t="shared" si="15"/>
        <v>28182624</v>
      </c>
      <c r="DA28" s="229">
        <f t="shared" si="15"/>
        <v>28182624</v>
      </c>
      <c r="DB28" s="229">
        <f t="shared" si="15"/>
        <v>0</v>
      </c>
      <c r="DC28" s="229">
        <f t="shared" si="15"/>
        <v>0</v>
      </c>
      <c r="DD28" s="229">
        <f t="shared" si="15"/>
        <v>0</v>
      </c>
      <c r="DE28" s="229">
        <f t="shared" si="15"/>
        <v>0</v>
      </c>
      <c r="DF28" s="229">
        <f>+DF16+DF17+DF18+DF24+DF25</f>
        <v>0</v>
      </c>
      <c r="DG28" s="229">
        <f>+DG16+DG17+DG18+DG24+DG25</f>
        <v>0</v>
      </c>
      <c r="DH28" s="229">
        <f>+DH16+DH17+DH18+DH24+DH25</f>
        <v>0</v>
      </c>
      <c r="DI28" s="229">
        <f>+DI16+DI17+DI18+DI24+DI25</f>
        <v>0</v>
      </c>
      <c r="DJ28" s="229">
        <f>+DJ16+DJ17+DJ18+DJ24+DJ25</f>
        <v>0</v>
      </c>
      <c r="DK28" s="240">
        <f>SUMIFS('1.a sz. Önkormányzat 2022. '!D28:MH28,'1.a sz. Önkormányzat 2022. '!$D$4:$MH$4,"kötelező",'1.a sz. Önkormányzat 2022. '!$D$2:$MH$2,"Eredeti előirányzat")+SUMIFS(D28:DI28,$D$4:$DI$4,"kötelező",$D$2:$DI$2,"Eredeti előirányzat")</f>
        <v>1510641545</v>
      </c>
      <c r="DL28" s="261">
        <f>+'1.a sz. Önkormányzat 2022. '!MY28+'1.b sz. Önkormányzat 2022.'!DZ28</f>
        <v>1724912514</v>
      </c>
      <c r="DM28" s="752">
        <f>+'1.a sz. Önkormányzat 2022. '!MZ28+'1.b sz. Önkormányzat 2022.'!EA28</f>
        <v>776945986</v>
      </c>
      <c r="DN28" s="240">
        <f>SUMIFS('1.a sz. Önkormányzat 2022. '!D28:MM28,'1.a sz. Önkormányzat 2022. '!$D$4:$MM$4,"önként vállalt",'1.a sz. Önkormányzat 2022. '!$D$2:$MM$2,"Eredeti előirányzat")+SUMIFS(D28:DI28,$D$4:$DI$4,"önként vállalt",$D$2:$DI$2,"Eredeti előirányzat")</f>
        <v>594468701</v>
      </c>
      <c r="DO28" s="240">
        <f>+'1.a sz. Önkormányzat 2022. '!NA28+'1.b sz. Önkormányzat 2022.'!EB28</f>
        <v>559087079</v>
      </c>
      <c r="DP28" s="752">
        <f>+'1.a sz. Önkormányzat 2022. '!NB28+EC28</f>
        <v>456691406</v>
      </c>
      <c r="DQ28" s="240">
        <f>SUMIFS('1.a sz. Önkormányzat 2022. '!D28:MH28,'1.a sz. Önkormányzat 2022. '!$D$4:$MH$4,"államigazgatási",'1.a sz. Önkormányzat 2022. '!$D$2:$MH$2,"Eredeti előirányzat")+SUMIFS(D28:DI28,$D$4:$DI$4,"államigazgatási",$D$2:$DI$2,"Eredeti előirányzat")</f>
        <v>0</v>
      </c>
      <c r="DR28" s="240">
        <f>SUMIFS('1.a sz. Önkormányzat 2022. '!D28:MH28,'1.a sz. Önkormányzat 2022. '!$D$4:$MH$4,"államigazgatási",'1.a sz. Önkormányzat 2022. '!$D$2:$MH$2,"Módosított előirányzat")+SUMIFS(D28:DI28,$D$4:$DI$4,"államigazgatási",$D$2:$DI$2,"Módosított előirányzat")</f>
        <v>0</v>
      </c>
      <c r="DS28" s="240">
        <f>SUMIFS('1.a sz. Önkormányzat 2022. '!E28:MI28,'1.a sz. Önkormányzat 2022. '!$D$4:$MH$4,"államigazgatási",'1.a sz. Önkormányzat 2022. '!$D$2:$MH$2,"Módosított előirányzat")+SUMIFS(E28:DJ28,$D$4:$DI$4,"államigazgatási",$D$2:$DI$2,"Módosított előirányzat")</f>
        <v>0</v>
      </c>
      <c r="DT28" s="240">
        <f t="shared" si="1"/>
        <v>2105110246</v>
      </c>
      <c r="DU28" s="240">
        <f t="shared" si="9"/>
        <v>2283999593</v>
      </c>
      <c r="DV28" s="261">
        <f t="shared" si="2"/>
        <v>1233637392</v>
      </c>
      <c r="DW28" s="383">
        <f>+'1.a sz. Önkormányzat 2022. '!LF28</f>
        <v>7499350</v>
      </c>
      <c r="DX28" s="383">
        <f>+'1.a sz. Önkormányzat 2022. '!LG28</f>
        <v>41418264</v>
      </c>
      <c r="DY28" s="383">
        <f>+'1.a sz. Önkormányzat 2022. '!LH28</f>
        <v>6604000</v>
      </c>
      <c r="DZ28" s="679">
        <f t="shared" si="3"/>
        <v>3000000</v>
      </c>
      <c r="EA28" s="679">
        <f t="shared" si="4"/>
        <v>3000000</v>
      </c>
      <c r="EB28" s="676">
        <f t="shared" si="5"/>
        <v>41451584</v>
      </c>
      <c r="EC28" s="676">
        <f t="shared" si="6"/>
        <v>36322844</v>
      </c>
    </row>
    <row r="29" spans="1:137" s="298" customFormat="1" ht="21.75" customHeight="1" x14ac:dyDescent="0.25">
      <c r="A29" s="295" t="s">
        <v>262</v>
      </c>
      <c r="B29" s="296" t="s">
        <v>328</v>
      </c>
      <c r="C29" s="297" t="s">
        <v>31</v>
      </c>
      <c r="D29" s="229">
        <f>+D27+D28</f>
        <v>23000000</v>
      </c>
      <c r="E29" s="229">
        <f t="shared" ref="E29:DE29" si="16">+E27+E28</f>
        <v>16819430</v>
      </c>
      <c r="F29" s="229">
        <f t="shared" si="16"/>
        <v>12780226</v>
      </c>
      <c r="G29" s="229">
        <f t="shared" si="16"/>
        <v>1500000</v>
      </c>
      <c r="H29" s="229">
        <f t="shared" si="16"/>
        <v>1500000</v>
      </c>
      <c r="I29" s="229">
        <f t="shared" si="16"/>
        <v>0</v>
      </c>
      <c r="J29" s="229">
        <f t="shared" si="16"/>
        <v>2300000</v>
      </c>
      <c r="K29" s="229">
        <f t="shared" si="16"/>
        <v>2300000</v>
      </c>
      <c r="L29" s="229">
        <f t="shared" si="16"/>
        <v>915970</v>
      </c>
      <c r="M29" s="229">
        <f t="shared" si="16"/>
        <v>2000000</v>
      </c>
      <c r="N29" s="229">
        <f t="shared" si="16"/>
        <v>2000000</v>
      </c>
      <c r="O29" s="229">
        <f t="shared" si="16"/>
        <v>326340</v>
      </c>
      <c r="P29" s="229">
        <f t="shared" si="16"/>
        <v>3000000</v>
      </c>
      <c r="Q29" s="229">
        <f t="shared" si="16"/>
        <v>3000000</v>
      </c>
      <c r="R29" s="229">
        <f t="shared" si="16"/>
        <v>1702500</v>
      </c>
      <c r="S29" s="229">
        <f t="shared" si="16"/>
        <v>4000000</v>
      </c>
      <c r="T29" s="229">
        <f t="shared" si="16"/>
        <v>4000000</v>
      </c>
      <c r="U29" s="229">
        <f t="shared" si="16"/>
        <v>3675056</v>
      </c>
      <c r="V29" s="229">
        <f t="shared" si="16"/>
        <v>500000</v>
      </c>
      <c r="W29" s="229">
        <f t="shared" si="16"/>
        <v>500000</v>
      </c>
      <c r="X29" s="229">
        <f t="shared" si="16"/>
        <v>33651</v>
      </c>
      <c r="Y29" s="229">
        <f t="shared" si="16"/>
        <v>0</v>
      </c>
      <c r="Z29" s="229">
        <f t="shared" si="16"/>
        <v>0</v>
      </c>
      <c r="AA29" s="229">
        <f t="shared" si="16"/>
        <v>0</v>
      </c>
      <c r="AB29" s="229">
        <f t="shared" si="16"/>
        <v>500000</v>
      </c>
      <c r="AC29" s="229">
        <f t="shared" si="16"/>
        <v>500000</v>
      </c>
      <c r="AD29" s="229">
        <f t="shared" si="16"/>
        <v>70000</v>
      </c>
      <c r="AE29" s="229">
        <f t="shared" si="16"/>
        <v>200000</v>
      </c>
      <c r="AF29" s="229">
        <f t="shared" si="16"/>
        <v>200000</v>
      </c>
      <c r="AG29" s="229">
        <f t="shared" si="16"/>
        <v>0</v>
      </c>
      <c r="AH29" s="229">
        <f t="shared" si="16"/>
        <v>0</v>
      </c>
      <c r="AI29" s="229">
        <f t="shared" si="16"/>
        <v>1000000</v>
      </c>
      <c r="AJ29" s="229">
        <f t="shared" si="16"/>
        <v>0</v>
      </c>
      <c r="AK29" s="229">
        <f t="shared" si="16"/>
        <v>7000000</v>
      </c>
      <c r="AL29" s="229">
        <f t="shared" si="16"/>
        <v>7000000</v>
      </c>
      <c r="AM29" s="229">
        <f t="shared" si="16"/>
        <v>5269145</v>
      </c>
      <c r="AN29" s="229">
        <f t="shared" si="16"/>
        <v>0</v>
      </c>
      <c r="AO29" s="229">
        <f t="shared" si="16"/>
        <v>9000000</v>
      </c>
      <c r="AP29" s="229">
        <f t="shared" si="16"/>
        <v>7041241</v>
      </c>
      <c r="AQ29" s="229">
        <f t="shared" si="16"/>
        <v>6500000</v>
      </c>
      <c r="AR29" s="229">
        <f t="shared" si="16"/>
        <v>1161940</v>
      </c>
      <c r="AS29" s="229">
        <f t="shared" si="16"/>
        <v>1033200</v>
      </c>
      <c r="AT29" s="229">
        <f t="shared" si="16"/>
        <v>4000000</v>
      </c>
      <c r="AU29" s="229">
        <f t="shared" si="16"/>
        <v>4000000</v>
      </c>
      <c r="AV29" s="229">
        <f t="shared" si="16"/>
        <v>0</v>
      </c>
      <c r="AW29" s="229">
        <f t="shared" si="16"/>
        <v>0</v>
      </c>
      <c r="AX29" s="229">
        <f t="shared" si="16"/>
        <v>100000</v>
      </c>
      <c r="AY29" s="229">
        <f t="shared" si="16"/>
        <v>100000</v>
      </c>
      <c r="AZ29" s="229">
        <f t="shared" si="16"/>
        <v>7047905</v>
      </c>
      <c r="BA29" s="229">
        <f t="shared" si="16"/>
        <v>7047905</v>
      </c>
      <c r="BB29" s="229">
        <f t="shared" si="16"/>
        <v>7047905</v>
      </c>
      <c r="BC29" s="229">
        <f t="shared" si="16"/>
        <v>117853492</v>
      </c>
      <c r="BD29" s="229">
        <f t="shared" si="16"/>
        <v>117853492</v>
      </c>
      <c r="BE29" s="229">
        <f t="shared" si="16"/>
        <v>117853492</v>
      </c>
      <c r="BF29" s="258">
        <f t="shared" si="16"/>
        <v>3220000</v>
      </c>
      <c r="BG29" s="258">
        <f t="shared" si="16"/>
        <v>4917452</v>
      </c>
      <c r="BH29" s="258">
        <f t="shared" si="16"/>
        <v>4917452</v>
      </c>
      <c r="BI29" s="258">
        <f t="shared" si="16"/>
        <v>0</v>
      </c>
      <c r="BJ29" s="258">
        <f t="shared" si="16"/>
        <v>5005000</v>
      </c>
      <c r="BK29" s="258">
        <f t="shared" si="16"/>
        <v>5005000</v>
      </c>
      <c r="BL29" s="258">
        <f t="shared" si="16"/>
        <v>0</v>
      </c>
      <c r="BM29" s="258">
        <f t="shared" si="16"/>
        <v>0</v>
      </c>
      <c r="BN29" s="258">
        <f t="shared" si="16"/>
        <v>0</v>
      </c>
      <c r="BO29" s="258">
        <f t="shared" si="16"/>
        <v>2590000</v>
      </c>
      <c r="BP29" s="258">
        <f t="shared" si="16"/>
        <v>14020000</v>
      </c>
      <c r="BQ29" s="258">
        <f t="shared" si="16"/>
        <v>13920000</v>
      </c>
      <c r="BR29" s="258">
        <f t="shared" si="16"/>
        <v>0</v>
      </c>
      <c r="BS29" s="258">
        <f t="shared" si="16"/>
        <v>1770000</v>
      </c>
      <c r="BT29" s="258">
        <f t="shared" si="16"/>
        <v>1770000</v>
      </c>
      <c r="BU29" s="229">
        <f t="shared" si="16"/>
        <v>4400000</v>
      </c>
      <c r="BV29" s="229">
        <f t="shared" si="16"/>
        <v>4400000</v>
      </c>
      <c r="BW29" s="229">
        <f t="shared" si="16"/>
        <v>4400000</v>
      </c>
      <c r="BX29" s="229">
        <f t="shared" si="16"/>
        <v>0</v>
      </c>
      <c r="BY29" s="229">
        <f t="shared" si="16"/>
        <v>3375000</v>
      </c>
      <c r="BZ29" s="229">
        <f t="shared" si="16"/>
        <v>3375000</v>
      </c>
      <c r="CA29" s="229">
        <f t="shared" si="16"/>
        <v>89632393</v>
      </c>
      <c r="CB29" s="229">
        <f t="shared" si="16"/>
        <v>117318393</v>
      </c>
      <c r="CC29" s="229">
        <f t="shared" si="16"/>
        <v>107896789</v>
      </c>
      <c r="CD29" s="229">
        <f t="shared" si="16"/>
        <v>4000000</v>
      </c>
      <c r="CE29" s="229">
        <f t="shared" si="16"/>
        <v>4000000</v>
      </c>
      <c r="CF29" s="229">
        <f t="shared" si="16"/>
        <v>3900000</v>
      </c>
      <c r="CG29" s="229">
        <f t="shared" si="16"/>
        <v>26600000</v>
      </c>
      <c r="CH29" s="229">
        <f t="shared" si="16"/>
        <v>26600000</v>
      </c>
      <c r="CI29" s="229">
        <f t="shared" si="16"/>
        <v>26600000</v>
      </c>
      <c r="CJ29" s="229">
        <f t="shared" si="16"/>
        <v>43128880</v>
      </c>
      <c r="CK29" s="229">
        <f t="shared" si="16"/>
        <v>47128880</v>
      </c>
      <c r="CL29" s="229">
        <f t="shared" si="16"/>
        <v>45636203</v>
      </c>
      <c r="CM29" s="229">
        <f t="shared" si="16"/>
        <v>29656000</v>
      </c>
      <c r="CN29" s="229">
        <f t="shared" si="16"/>
        <v>29656004</v>
      </c>
      <c r="CO29" s="229">
        <f t="shared" si="16"/>
        <v>27826925</v>
      </c>
      <c r="CP29" s="229">
        <f t="shared" si="16"/>
        <v>1487500</v>
      </c>
      <c r="CQ29" s="229">
        <f t="shared" si="16"/>
        <v>1487500</v>
      </c>
      <c r="CR29" s="229">
        <f t="shared" si="16"/>
        <v>962500</v>
      </c>
      <c r="CS29" s="229">
        <f t="shared" si="16"/>
        <v>210500</v>
      </c>
      <c r="CT29" s="229">
        <f t="shared" si="16"/>
        <v>3960500</v>
      </c>
      <c r="CU29" s="229">
        <f t="shared" si="16"/>
        <v>2960500</v>
      </c>
      <c r="CV29" s="229">
        <f>+CV27+CV28</f>
        <v>0</v>
      </c>
      <c r="CW29" s="229">
        <f>+CW27+CW28</f>
        <v>1554735</v>
      </c>
      <c r="CX29" s="229">
        <f>+CX27+CX28</f>
        <v>1554735</v>
      </c>
      <c r="CY29" s="229">
        <f t="shared" si="16"/>
        <v>131696060</v>
      </c>
      <c r="CZ29" s="229">
        <f t="shared" si="16"/>
        <v>131697979</v>
      </c>
      <c r="DA29" s="229">
        <f t="shared" si="16"/>
        <v>28315885742</v>
      </c>
      <c r="DB29" s="229">
        <f t="shared" si="16"/>
        <v>0</v>
      </c>
      <c r="DC29" s="229">
        <f t="shared" si="16"/>
        <v>0</v>
      </c>
      <c r="DD29" s="229">
        <f t="shared" si="16"/>
        <v>0</v>
      </c>
      <c r="DE29" s="229">
        <f t="shared" si="16"/>
        <v>0</v>
      </c>
      <c r="DF29" s="229">
        <f>+DF27+DF28</f>
        <v>295068529</v>
      </c>
      <c r="DG29" s="229">
        <f>+DG27+DG28</f>
        <v>295068529</v>
      </c>
      <c r="DH29" s="229">
        <f>+DH27+DH28</f>
        <v>0</v>
      </c>
      <c r="DI29" s="229">
        <f>+DI27+DI28</f>
        <v>0</v>
      </c>
      <c r="DJ29" s="229">
        <f>+DJ27+DJ28</f>
        <v>0</v>
      </c>
      <c r="DK29" s="240">
        <f>SUMIFS('1.a sz. Önkormányzat 2022. '!D29:MH29,'1.a sz. Önkormányzat 2022. '!$D$4:$MH$4,"kötelező",'1.a sz. Önkormányzat 2022. '!$D$2:$MH$2,"Eredeti előirányzat")+SUMIFS(D29:DI29,$D$4:$DI$4,"kötelező",$D$2:$DI$2,"Eredeti előirányzat")</f>
        <v>9155749069</v>
      </c>
      <c r="DL29" s="261">
        <f>+'1.a sz. Önkormányzat 2022. '!MY29+'1.b sz. Önkormányzat 2022.'!DZ29</f>
        <v>11297129528</v>
      </c>
      <c r="DM29" s="752">
        <f>+'1.a sz. Önkormányzat 2022. '!MZ29+'1.b sz. Önkormányzat 2022.'!EA29</f>
        <v>7524061863</v>
      </c>
      <c r="DN29" s="240">
        <f>SUMIFS('1.a sz. Önkormányzat 2022. '!D29:MM29,'1.a sz. Önkormányzat 2022. '!$D$4:$MM$4,"önként vállalt",'1.a sz. Önkormányzat 2022. '!$D$2:$MM$2,"Eredeti előirányzat")+SUMIFS(D29:DI29,$D$4:$DI$4,"önként vállalt",$D$2:$DI$2,"Eredeti előirányzat")</f>
        <v>1183954852</v>
      </c>
      <c r="DO29" s="240">
        <f>+'1.a sz. Önkormányzat 2022. '!NA29+'1.b sz. Önkormányzat 2022.'!EB29</f>
        <v>1326253468</v>
      </c>
      <c r="DP29" s="752">
        <f>+'1.a sz. Önkormányzat 2022. '!NB29+EC29</f>
        <v>29327215266</v>
      </c>
      <c r="DQ29" s="240">
        <f>SUMIFS('1.a sz. Önkormányzat 2022. '!D29:MH29,'1.a sz. Önkormányzat 2022. '!$D$4:$MH$4,"államigazgatási",'1.a sz. Önkormányzat 2022. '!$D$2:$MH$2,"Eredeti előirányzat")+SUMIFS(D29:DI29,$D$4:$DI$4,"államigazgatási",$D$2:$DI$2,"Eredeti előirányzat")</f>
        <v>0</v>
      </c>
      <c r="DR29" s="240">
        <f>SUMIFS('1.a sz. Önkormányzat 2022. '!D29:MH29,'1.a sz. Önkormányzat 2022. '!$D$4:$MH$4,"államigazgatási",'1.a sz. Önkormányzat 2022. '!$D$2:$MH$2,"Módosított előirányzat")+SUMIFS(D29:DI29,$D$4:$DI$4,"államigazgatási",$D$2:$DI$2,"Módosított előirányzat")</f>
        <v>0</v>
      </c>
      <c r="DS29" s="240">
        <f>SUMIFS('1.a sz. Önkormányzat 2022. '!E29:MI29,'1.a sz. Önkormányzat 2022. '!$D$4:$MH$4,"államigazgatási",'1.a sz. Önkormányzat 2022. '!$D$2:$MH$2,"Módosított előirányzat")+SUMIFS(E29:DJ29,$D$4:$DI$4,"államigazgatási",$D$2:$DI$2,"Módosított előirányzat")</f>
        <v>0</v>
      </c>
      <c r="DT29" s="240">
        <f t="shared" si="1"/>
        <v>10339703921</v>
      </c>
      <c r="DU29" s="240">
        <f t="shared" si="9"/>
        <v>12623382996</v>
      </c>
      <c r="DV29" s="261">
        <f t="shared" si="2"/>
        <v>36851277129</v>
      </c>
      <c r="DW29" s="383">
        <f>+'1.a sz. Önkormányzat 2022. '!LF29</f>
        <v>7499350</v>
      </c>
      <c r="DX29" s="383">
        <f>+'1.a sz. Önkormányzat 2022. '!LG29</f>
        <v>49565206</v>
      </c>
      <c r="DY29" s="383">
        <f>+'1.a sz. Önkormányzat 2022. '!LH29</f>
        <v>14589044</v>
      </c>
      <c r="DZ29" s="679">
        <f t="shared" si="3"/>
        <v>489862356</v>
      </c>
      <c r="EA29" s="679">
        <f t="shared" si="4"/>
        <v>462606372</v>
      </c>
      <c r="EB29" s="676">
        <f t="shared" si="5"/>
        <v>380080383</v>
      </c>
      <c r="EC29" s="676">
        <f t="shared" si="6"/>
        <v>28556921729</v>
      </c>
      <c r="ED29" s="298">
        <v>6873632041</v>
      </c>
    </row>
    <row r="30" spans="1:137" ht="21.75" customHeight="1" x14ac:dyDescent="0.25">
      <c r="A30" s="208" t="s">
        <v>263</v>
      </c>
      <c r="B30" s="214" t="s">
        <v>52</v>
      </c>
      <c r="C30" s="221" t="s">
        <v>212</v>
      </c>
      <c r="D30" s="241"/>
      <c r="E30" s="241"/>
      <c r="F30" s="241"/>
      <c r="G30" s="241"/>
      <c r="H30" s="241"/>
      <c r="I30" s="241"/>
      <c r="J30" s="241"/>
      <c r="K30" s="241"/>
      <c r="L30" s="241"/>
      <c r="M30" s="241"/>
      <c r="N30" s="241"/>
      <c r="O30" s="241"/>
      <c r="P30" s="241"/>
      <c r="Q30" s="241"/>
      <c r="R30" s="241"/>
      <c r="S30" s="241"/>
      <c r="T30" s="241"/>
      <c r="U30" s="241"/>
      <c r="V30" s="241"/>
      <c r="W30" s="241"/>
      <c r="X30" s="241"/>
      <c r="Y30" s="211"/>
      <c r="Z30" s="211"/>
      <c r="AA30" s="211"/>
      <c r="AB30" s="241"/>
      <c r="AC30" s="241"/>
      <c r="AD30" s="241"/>
      <c r="AE30" s="241"/>
      <c r="AF30" s="241"/>
      <c r="AG30" s="241"/>
      <c r="AH30" s="241"/>
      <c r="AI30" s="241"/>
      <c r="AJ30" s="241"/>
      <c r="AK30" s="241"/>
      <c r="AL30" s="241"/>
      <c r="AM30" s="241"/>
      <c r="AN30" s="241"/>
      <c r="AO30" s="241"/>
      <c r="AP30" s="241"/>
      <c r="AQ30" s="249"/>
      <c r="AR30" s="249"/>
      <c r="AS30" s="249"/>
      <c r="AT30" s="249"/>
      <c r="AU30" s="249"/>
      <c r="AV30" s="249"/>
      <c r="AW30" s="249"/>
      <c r="AX30" s="249"/>
      <c r="AY30" s="249"/>
      <c r="AZ30" s="249"/>
      <c r="BA30" s="249"/>
      <c r="BB30" s="249"/>
      <c r="BC30" s="249"/>
      <c r="BD30" s="249"/>
      <c r="BE30" s="249"/>
      <c r="BF30" s="748"/>
      <c r="BG30" s="748"/>
      <c r="BH30" s="748"/>
      <c r="BI30" s="748"/>
      <c r="BJ30" s="748"/>
      <c r="BK30" s="748"/>
      <c r="BL30" s="748"/>
      <c r="BM30" s="748"/>
      <c r="BN30" s="748"/>
      <c r="BO30" s="748"/>
      <c r="BP30" s="748"/>
      <c r="BQ30" s="748"/>
      <c r="BR30" s="748"/>
      <c r="BS30" s="748"/>
      <c r="BT30" s="748"/>
      <c r="BU30" s="249"/>
      <c r="BV30" s="249"/>
      <c r="BW30" s="249"/>
      <c r="BX30" s="241"/>
      <c r="BY30" s="241"/>
      <c r="BZ30" s="241"/>
      <c r="CA30" s="241"/>
      <c r="CB30" s="241"/>
      <c r="CC30" s="241"/>
      <c r="CD30" s="241"/>
      <c r="CE30" s="241">
        <v>630000</v>
      </c>
      <c r="CF30" s="241">
        <v>630000</v>
      </c>
      <c r="CG30" s="241"/>
      <c r="CH30" s="241"/>
      <c r="CI30" s="241"/>
      <c r="CJ30" s="241"/>
      <c r="CK30" s="241"/>
      <c r="CL30" s="241"/>
      <c r="CM30" s="241">
        <v>2278940</v>
      </c>
      <c r="CN30" s="241">
        <v>2278944</v>
      </c>
      <c r="CO30" s="241">
        <v>2278944</v>
      </c>
      <c r="CP30" s="241"/>
      <c r="CQ30" s="241"/>
      <c r="CR30" s="241"/>
      <c r="CS30" s="241"/>
      <c r="CT30" s="241">
        <v>32017</v>
      </c>
      <c r="CU30" s="241">
        <v>32017</v>
      </c>
      <c r="CV30" s="241"/>
      <c r="CW30" s="241"/>
      <c r="CX30" s="241"/>
      <c r="CY30" s="241"/>
      <c r="CZ30" s="241"/>
      <c r="DA30" s="241"/>
      <c r="DB30" s="241"/>
      <c r="DC30" s="241"/>
      <c r="DD30" s="241"/>
      <c r="DE30" s="241">
        <v>1732867023</v>
      </c>
      <c r="DF30" s="241">
        <v>2374477160</v>
      </c>
      <c r="DG30" s="241">
        <v>2374477160</v>
      </c>
      <c r="DH30" s="241"/>
      <c r="DI30" s="241"/>
      <c r="DJ30" s="241"/>
      <c r="DK30" s="241">
        <f>SUMIFS('1.a sz. Önkormányzat 2022. '!D30:MH30,'1.a sz. Önkormányzat 2022. '!$D$4:$MH$4,"kötelező",'1.a sz. Önkormányzat 2022. '!$D$2:$MH$2,"Eredeti előirányzat")+SUMIFS(D30:DI30,$D$4:$DI$4,"kötelező",$D$2:$DI$2,"Eredeti előirányzat")</f>
        <v>1735145963</v>
      </c>
      <c r="DL30" s="211">
        <f>+'1.a sz. Önkormányzat 2022. '!MY30+'1.b sz. Önkormányzat 2022.'!DZ30</f>
        <v>2554137165</v>
      </c>
      <c r="DM30" s="241">
        <f>SUMIFS('1.a sz. Önkormányzat 2022. '!E30:MX30,'1.a sz. Önkormányzat 2022. '!$D$4:$MW$4,"kötelező",'1.a sz. Önkormányzat 2022. '!$D$2:$MW$2,"Módosított előirányzat")+SUMIFS(E30:DJ30,$D$4:$DI$4,"kötelező",$D$2:$DI$2,"Módosított előirányzat")</f>
        <v>2554137165</v>
      </c>
      <c r="DN30" s="241">
        <f>SUMIFS('1.a sz. Önkormányzat 2022. '!D30:MM30,'1.a sz. Önkormányzat 2022. '!$D$4:$MM$4,"önként vállalt",'1.a sz. Önkormányzat 2022. '!$D$2:$MM$2,"Eredeti előirányzat")+SUMIFS(D30:DI30,$D$4:$DI$4,"önként vállalt",$D$2:$DI$2,"Eredeti előirányzat")</f>
        <v>0</v>
      </c>
      <c r="DO30" s="241">
        <f>+'1.a sz. Önkormányzat 2022. '!NA30+'1.b sz. Önkormányzat 2022.'!EB30</f>
        <v>662017</v>
      </c>
      <c r="DP30" s="241">
        <f>SUMIFS('1.a sz. Önkormányzat 2022. '!E30:MO30,'1.a sz. Önkormányzat 2022. '!$D$4:$MN$4,"önként vállalt",'1.a sz. Önkormányzat 2022. '!$D$2:$MN$2,"Módosított előirányzat")+SUMIFS(E30:DJ30,$D$4:$DI$4,"önként vállalt",$D$2:$DI$2,"Módosított előirányzat")</f>
        <v>662017</v>
      </c>
      <c r="DQ30" s="241">
        <f>SUMIFS('1.a sz. Önkormányzat 2022. '!D30:MH30,'1.a sz. Önkormányzat 2022. '!$D$4:$MH$4,"államigazgatási",'1.a sz. Önkormányzat 2022. '!$D$2:$MH$2,"Eredeti előirányzat")+SUMIFS(D30:DI30,$D$4:$DI$4,"államigazgatási",$D$2:$DI$2,"Eredeti előirányzat")</f>
        <v>0</v>
      </c>
      <c r="DR30" s="241">
        <f>SUMIFS('1.a sz. Önkormányzat 2022. '!D30:MH30,'1.a sz. Önkormányzat 2022. '!$D$4:$MH$4,"államigazgatási",'1.a sz. Önkormányzat 2022. '!$D$2:$MH$2,"Módosított előirányzat")+SUMIFS(D30:DI30,$D$4:$DI$4,"államigazgatási",$D$2:$DI$2,"Módosított előirányzat")</f>
        <v>0</v>
      </c>
      <c r="DS30" s="241">
        <f>SUMIFS('1.a sz. Önkormányzat 2022. '!E30:MI30,'1.a sz. Önkormányzat 2022. '!$D$4:$MH$4,"államigazgatási",'1.a sz. Önkormányzat 2022. '!$D$2:$MH$2,"Módosított előirányzat")+SUMIFS(E30:DJ30,$D$4:$DI$4,"államigazgatási",$D$2:$DI$2,"Módosított előirányzat")</f>
        <v>0</v>
      </c>
      <c r="DT30" s="241">
        <f>DK30+DN30+DQ30</f>
        <v>1735145963</v>
      </c>
      <c r="DU30" s="241">
        <f>DL30+DO30+DR30</f>
        <v>2554799182</v>
      </c>
      <c r="DV30" s="211">
        <f t="shared" si="2"/>
        <v>2554799182</v>
      </c>
      <c r="DW30" s="383">
        <f>+'1.a sz. Önkormányzat 2022. '!LF30</f>
        <v>0</v>
      </c>
      <c r="DX30" s="383">
        <f>+'1.a sz. Önkormányzat 2022. '!LG30</f>
        <v>0</v>
      </c>
      <c r="DY30" s="383">
        <f>+'1.a sz. Önkormányzat 2022. '!LH30</f>
        <v>0</v>
      </c>
      <c r="DZ30" s="679">
        <f t="shared" si="3"/>
        <v>2376756104</v>
      </c>
      <c r="EA30" s="679">
        <f t="shared" si="4"/>
        <v>2376756104</v>
      </c>
      <c r="EB30" s="676">
        <f t="shared" si="5"/>
        <v>662017</v>
      </c>
      <c r="EC30" s="676">
        <f t="shared" si="6"/>
        <v>662017</v>
      </c>
      <c r="ED30" s="213" t="e">
        <f>+ED29-#REF!</f>
        <v>#REF!</v>
      </c>
    </row>
    <row r="31" spans="1:137" ht="21.75" customHeight="1" x14ac:dyDescent="0.25">
      <c r="A31" s="208" t="s">
        <v>264</v>
      </c>
      <c r="B31" s="214" t="s">
        <v>223</v>
      </c>
      <c r="C31" s="221" t="s">
        <v>213</v>
      </c>
      <c r="D31" s="241"/>
      <c r="E31" s="241"/>
      <c r="F31" s="241"/>
      <c r="G31" s="241"/>
      <c r="H31" s="241"/>
      <c r="I31" s="241"/>
      <c r="J31" s="241"/>
      <c r="K31" s="241"/>
      <c r="L31" s="241"/>
      <c r="M31" s="241"/>
      <c r="N31" s="241"/>
      <c r="O31" s="241"/>
      <c r="P31" s="241"/>
      <c r="Q31" s="241"/>
      <c r="R31" s="241"/>
      <c r="S31" s="241"/>
      <c r="T31" s="241"/>
      <c r="U31" s="241"/>
      <c r="V31" s="241"/>
      <c r="W31" s="241"/>
      <c r="X31" s="241"/>
      <c r="Y31" s="211"/>
      <c r="Z31" s="211"/>
      <c r="AA31" s="211"/>
      <c r="AB31" s="241"/>
      <c r="AC31" s="241"/>
      <c r="AD31" s="241"/>
      <c r="AE31" s="241"/>
      <c r="AF31" s="241"/>
      <c r="AG31" s="241"/>
      <c r="AH31" s="241"/>
      <c r="AI31" s="241"/>
      <c r="AJ31" s="241"/>
      <c r="AK31" s="241"/>
      <c r="AL31" s="241"/>
      <c r="AM31" s="241"/>
      <c r="AN31" s="241"/>
      <c r="AO31" s="241"/>
      <c r="AP31" s="241"/>
      <c r="AQ31" s="249"/>
      <c r="AR31" s="249"/>
      <c r="AS31" s="249"/>
      <c r="AT31" s="249"/>
      <c r="AU31" s="249"/>
      <c r="AV31" s="249"/>
      <c r="AW31" s="249"/>
      <c r="AX31" s="249"/>
      <c r="AY31" s="249"/>
      <c r="AZ31" s="249"/>
      <c r="BA31" s="249"/>
      <c r="BB31" s="249"/>
      <c r="BC31" s="249"/>
      <c r="BD31" s="249"/>
      <c r="BE31" s="249"/>
      <c r="BF31" s="748"/>
      <c r="BG31" s="748"/>
      <c r="BH31" s="748"/>
      <c r="BI31" s="748"/>
      <c r="BJ31" s="748"/>
      <c r="BK31" s="748"/>
      <c r="BL31" s="748"/>
      <c r="BM31" s="748"/>
      <c r="BN31" s="748"/>
      <c r="BO31" s="748"/>
      <c r="BP31" s="748"/>
      <c r="BQ31" s="748"/>
      <c r="BR31" s="748"/>
      <c r="BS31" s="748"/>
      <c r="BT31" s="748"/>
      <c r="BU31" s="249"/>
      <c r="BV31" s="249"/>
      <c r="BW31" s="249"/>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f>SUMIFS('1.a sz. Önkormányzat 2022. '!D31:MH31,'1.a sz. Önkormányzat 2022. '!$D$4:$MH$4,"kötelező",'1.a sz. Önkormányzat 2022. '!$D$2:$MH$2,"Eredeti előirányzat")+SUMIFS(D31:DI31,$D$4:$DI$4,"kötelező",$D$2:$DI$2,"Eredeti előirányzat")</f>
        <v>0</v>
      </c>
      <c r="DL31" s="211">
        <f>+'1.a sz. Önkormányzat 2022. '!MY31+'1.b sz. Önkormányzat 2022.'!DZ31</f>
        <v>54255209</v>
      </c>
      <c r="DM31" s="241">
        <f>SUMIFS('1.a sz. Önkormányzat 2022. '!E31:MX31,'1.a sz. Önkormányzat 2022. '!$D$4:$MW$4,"kötelező",'1.a sz. Önkormányzat 2022. '!$D$2:$MW$2,"Módosított előirányzat")+SUMIFS(E31:DJ31,$D$4:$DI$4,"kötelező",$D$2:$DI$2,"Módosított előirányzat")</f>
        <v>54255209</v>
      </c>
      <c r="DN31" s="241">
        <f>SUMIFS('1.a sz. Önkormányzat 2022. '!D31:MM31,'1.a sz. Önkormányzat 2022. '!$D$4:$MM$4,"önként vállalt",'1.a sz. Önkormányzat 2022. '!$D$2:$MM$2,"Eredeti előirányzat")+SUMIFS(D31:DI31,$D$4:$DI$4,"önként vállalt",$D$2:$DI$2,"Eredeti előirányzat")</f>
        <v>0</v>
      </c>
      <c r="DO31" s="241">
        <f>+'1.a sz. Önkormányzat 2022. '!NA31+'1.b sz. Önkormányzat 2022.'!EB31</f>
        <v>0</v>
      </c>
      <c r="DP31" s="241">
        <f>SUMIFS('1.a sz. Önkormányzat 2022. '!E31:MO31,'1.a sz. Önkormányzat 2022. '!$D$4:$MN$4,"önként vállalt",'1.a sz. Önkormányzat 2022. '!$D$2:$MN$2,"Módosított előirányzat")+SUMIFS(E31:DJ31,$D$4:$DI$4,"önként vállalt",$D$2:$DI$2,"Módosított előirányzat")</f>
        <v>0</v>
      </c>
      <c r="DQ31" s="241">
        <f>SUMIFS('1.a sz. Önkormányzat 2022. '!D31:MH31,'1.a sz. Önkormányzat 2022. '!$D$4:$MH$4,"államigazgatási",'1.a sz. Önkormányzat 2022. '!$D$2:$MH$2,"Eredeti előirányzat")+SUMIFS(D31:DI31,$D$4:$DI$4,"államigazgatási",$D$2:$DI$2,"Eredeti előirányzat")</f>
        <v>0</v>
      </c>
      <c r="DR31" s="241">
        <f>SUMIFS('1.a sz. Önkormányzat 2022. '!D31:MH31,'1.a sz. Önkormányzat 2022. '!$D$4:$MH$4,"államigazgatási",'1.a sz. Önkormányzat 2022. '!$D$2:$MH$2,"Módosított előirányzat")+SUMIFS(D31:DI31,$D$4:$DI$4,"államigazgatási",$D$2:$DI$2,"Módosított előirányzat")</f>
        <v>0</v>
      </c>
      <c r="DS31" s="241">
        <f>SUMIFS('1.a sz. Önkormányzat 2022. '!E31:MI31,'1.a sz. Önkormányzat 2022. '!$D$4:$MH$4,"államigazgatási",'1.a sz. Önkormányzat 2022. '!$D$2:$MH$2,"Módosított előirányzat")+SUMIFS(E31:DJ31,$D$4:$DI$4,"államigazgatási",$D$2:$DI$2,"Módosított előirányzat")</f>
        <v>0</v>
      </c>
      <c r="DT31" s="241">
        <f t="shared" si="1"/>
        <v>0</v>
      </c>
      <c r="DU31" s="241">
        <f t="shared" si="9"/>
        <v>54255209</v>
      </c>
      <c r="DV31" s="211">
        <f t="shared" si="2"/>
        <v>54255209</v>
      </c>
      <c r="DW31" s="383">
        <f>+'1.a sz. Önkormányzat 2022. '!LF31</f>
        <v>0</v>
      </c>
      <c r="DX31" s="383">
        <f>+'1.a sz. Önkormányzat 2022. '!LG31</f>
        <v>49565206</v>
      </c>
      <c r="DY31" s="383">
        <f>+'1.a sz. Önkormányzat 2022. '!LH31</f>
        <v>49565206</v>
      </c>
      <c r="DZ31" s="679">
        <f t="shared" si="3"/>
        <v>0</v>
      </c>
      <c r="EA31" s="679">
        <f t="shared" si="4"/>
        <v>0</v>
      </c>
      <c r="EB31" s="676">
        <f t="shared" si="5"/>
        <v>0</v>
      </c>
      <c r="EC31" s="676">
        <f t="shared" si="6"/>
        <v>0</v>
      </c>
      <c r="EG31" s="213">
        <f>+DV29-DV20-DV21</f>
        <v>0</v>
      </c>
    </row>
    <row r="32" spans="1:137" ht="21.75" customHeight="1" x14ac:dyDescent="0.25">
      <c r="A32" s="208" t="s">
        <v>265</v>
      </c>
      <c r="B32" s="214" t="s">
        <v>222</v>
      </c>
      <c r="C32" s="221" t="s">
        <v>214</v>
      </c>
      <c r="D32" s="241"/>
      <c r="E32" s="241"/>
      <c r="F32" s="241"/>
      <c r="G32" s="241"/>
      <c r="H32" s="241"/>
      <c r="I32" s="241"/>
      <c r="J32" s="241"/>
      <c r="K32" s="241"/>
      <c r="L32" s="241"/>
      <c r="M32" s="241"/>
      <c r="N32" s="241"/>
      <c r="O32" s="241"/>
      <c r="P32" s="241"/>
      <c r="Q32" s="241"/>
      <c r="R32" s="241"/>
      <c r="S32" s="241"/>
      <c r="T32" s="241"/>
      <c r="U32" s="241"/>
      <c r="V32" s="241"/>
      <c r="W32" s="241"/>
      <c r="X32" s="241"/>
      <c r="Y32" s="211"/>
      <c r="Z32" s="211"/>
      <c r="AA32" s="211"/>
      <c r="AB32" s="241"/>
      <c r="AC32" s="241"/>
      <c r="AD32" s="241"/>
      <c r="AE32" s="241"/>
      <c r="AF32" s="241"/>
      <c r="AG32" s="241"/>
      <c r="AH32" s="241"/>
      <c r="AI32" s="241"/>
      <c r="AJ32" s="241"/>
      <c r="AK32" s="241"/>
      <c r="AL32" s="241"/>
      <c r="AM32" s="241"/>
      <c r="AN32" s="241"/>
      <c r="AO32" s="241"/>
      <c r="AP32" s="241"/>
      <c r="AQ32" s="249"/>
      <c r="AR32" s="249"/>
      <c r="AS32" s="249"/>
      <c r="AT32" s="249"/>
      <c r="AU32" s="249"/>
      <c r="AV32" s="249"/>
      <c r="AW32" s="249"/>
      <c r="AX32" s="249"/>
      <c r="AY32" s="249"/>
      <c r="AZ32" s="249"/>
      <c r="BA32" s="249"/>
      <c r="BB32" s="249"/>
      <c r="BC32" s="249"/>
      <c r="BD32" s="249"/>
      <c r="BE32" s="249"/>
      <c r="BF32" s="748"/>
      <c r="BG32" s="748"/>
      <c r="BH32" s="748"/>
      <c r="BI32" s="748"/>
      <c r="BJ32" s="748"/>
      <c r="BK32" s="748"/>
      <c r="BL32" s="748"/>
      <c r="BM32" s="748"/>
      <c r="BN32" s="748"/>
      <c r="BO32" s="748"/>
      <c r="BP32" s="748"/>
      <c r="BQ32" s="748"/>
      <c r="BR32" s="748"/>
      <c r="BS32" s="748"/>
      <c r="BT32" s="748"/>
      <c r="BU32" s="249"/>
      <c r="BV32" s="249"/>
      <c r="BW32" s="249"/>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c r="CZ32" s="241"/>
      <c r="DA32" s="241"/>
      <c r="DB32" s="241">
        <f>+'[1]13.sz. Közhatalmi bevételek'!E5</f>
        <v>3822360000</v>
      </c>
      <c r="DC32" s="241">
        <v>4719186287</v>
      </c>
      <c r="DD32" s="241">
        <v>4663848531</v>
      </c>
      <c r="DE32" s="241"/>
      <c r="DF32" s="241"/>
      <c r="DG32" s="241"/>
      <c r="DH32" s="241">
        <f>+'[1]13.sz. Közhatalmi bevételek'!F5</f>
        <v>46979111</v>
      </c>
      <c r="DI32" s="241">
        <f>46979111-13889158-29661178-3428775</f>
        <v>0</v>
      </c>
      <c r="DJ32" s="241"/>
      <c r="DK32" s="241">
        <f>SUMIFS('1.a sz. Önkormányzat 2022. '!D32:MH32,'1.a sz. Önkormányzat 2022. '!$D$4:$MH$4,"kötelező",'1.a sz. Önkormányzat 2022. '!$D$2:$MH$2,"Eredeti előirányzat")+SUMIFS(D32:DI32,$D$4:$DI$4,"kötelező",$D$2:$DI$2,"Eredeti előirányzat")</f>
        <v>3869339111</v>
      </c>
      <c r="DL32" s="211">
        <f>+'1.a sz. Önkormányzat 2022. '!MY32+'1.b sz. Önkormányzat 2022.'!DZ32</f>
        <v>4719374433</v>
      </c>
      <c r="DM32" s="241">
        <f>SUMIFS('1.a sz. Önkormányzat 2022. '!E32:MX32,'1.a sz. Önkormányzat 2022. '!$D$4:$MW$4,"kötelező",'1.a sz. Önkormányzat 2022. '!$D$2:$MW$2,"Módosított előirányzat")+SUMIFS(E32:DJ32,$D$4:$DI$4,"kötelező",$D$2:$DI$2,"Módosított előirányzat")</f>
        <v>4664036677</v>
      </c>
      <c r="DN32" s="241">
        <f>SUMIFS('1.a sz. Önkormányzat 2022. '!D32:MM32,'1.a sz. Önkormányzat 2022. '!$D$4:$MM$4,"önként vállalt",'1.a sz. Önkormányzat 2022. '!$D$2:$MM$2,"Eredeti előirányzat")+SUMIFS(D32:DI32,$D$4:$DI$4,"önként vállalt",$D$2:$DI$2,"Eredeti előirányzat")</f>
        <v>0</v>
      </c>
      <c r="DO32" s="241">
        <f>+'1.a sz. Önkormányzat 2022. '!NA32+'1.b sz. Önkormányzat 2022.'!EB32</f>
        <v>0</v>
      </c>
      <c r="DP32" s="241">
        <f>SUMIFS('1.a sz. Önkormányzat 2022. '!E32:MO32,'1.a sz. Önkormányzat 2022. '!$D$4:$MN$4,"önként vállalt",'1.a sz. Önkormányzat 2022. '!$D$2:$MN$2,"Módosított előirányzat")+SUMIFS(E32:DJ32,$D$4:$DI$4,"önként vállalt",$D$2:$DI$2,"Módosított előirányzat")</f>
        <v>0</v>
      </c>
      <c r="DQ32" s="241">
        <f>SUMIFS('1.a sz. Önkormányzat 2022. '!D32:MH32,'1.a sz. Önkormányzat 2022. '!$D$4:$MH$4,"államigazgatási",'1.a sz. Önkormányzat 2022. '!$D$2:$MH$2,"Eredeti előirányzat")+SUMIFS(D32:DI32,$D$4:$DI$4,"államigazgatási",$D$2:$DI$2,"Eredeti előirányzat")</f>
        <v>0</v>
      </c>
      <c r="DR32" s="241">
        <f>SUMIFS('1.a sz. Önkormányzat 2022. '!D32:MH32,'1.a sz. Önkormányzat 2022. '!$D$4:$MH$4,"államigazgatási",'1.a sz. Önkormányzat 2022. '!$D$2:$MH$2,"Módosított előirányzat")+SUMIFS(D32:DI32,$D$4:$DI$4,"államigazgatási",$D$2:$DI$2,"Módosított előirányzat")</f>
        <v>0</v>
      </c>
      <c r="DS32" s="241">
        <f>SUMIFS('1.a sz. Önkormányzat 2022. '!E32:MI32,'1.a sz. Önkormányzat 2022. '!$D$4:$MH$4,"államigazgatási",'1.a sz. Önkormányzat 2022. '!$D$2:$MH$2,"Módosított előirányzat")+SUMIFS(E32:DJ32,$D$4:$DI$4,"államigazgatási",$D$2:$DI$2,"Módosított előirányzat")</f>
        <v>0</v>
      </c>
      <c r="DT32" s="241">
        <f t="shared" si="1"/>
        <v>3869339111</v>
      </c>
      <c r="DU32" s="241">
        <f t="shared" si="9"/>
        <v>4719374433</v>
      </c>
      <c r="DV32" s="211">
        <f t="shared" si="2"/>
        <v>4664036677</v>
      </c>
      <c r="DW32" s="383">
        <f>+'1.a sz. Önkormányzat 2022. '!LF32</f>
        <v>0</v>
      </c>
      <c r="DX32" s="383">
        <f>+'1.a sz. Önkormányzat 2022. '!LG32</f>
        <v>0</v>
      </c>
      <c r="DY32" s="383">
        <f>+'1.a sz. Önkormányzat 2022. '!LH32</f>
        <v>0</v>
      </c>
      <c r="DZ32" s="679">
        <f t="shared" si="3"/>
        <v>4719186287</v>
      </c>
      <c r="EA32" s="679">
        <f t="shared" si="4"/>
        <v>4663848531</v>
      </c>
      <c r="EB32" s="676">
        <f t="shared" si="5"/>
        <v>0</v>
      </c>
      <c r="EC32" s="676">
        <f t="shared" si="6"/>
        <v>0</v>
      </c>
    </row>
    <row r="33" spans="1:136" ht="21.75" customHeight="1" x14ac:dyDescent="0.25">
      <c r="A33" s="208" t="s">
        <v>266</v>
      </c>
      <c r="B33" s="217" t="s">
        <v>0</v>
      </c>
      <c r="C33" s="221" t="s">
        <v>215</v>
      </c>
      <c r="D33" s="241"/>
      <c r="E33" s="241"/>
      <c r="F33" s="241"/>
      <c r="G33" s="241"/>
      <c r="H33" s="241"/>
      <c r="I33" s="241"/>
      <c r="J33" s="241"/>
      <c r="K33" s="241"/>
      <c r="L33" s="241"/>
      <c r="M33" s="241"/>
      <c r="N33" s="241"/>
      <c r="O33" s="241"/>
      <c r="P33" s="241"/>
      <c r="Q33" s="241"/>
      <c r="R33" s="241"/>
      <c r="S33" s="241"/>
      <c r="T33" s="241"/>
      <c r="U33" s="241"/>
      <c r="V33" s="241"/>
      <c r="W33" s="241"/>
      <c r="X33" s="241"/>
      <c r="Y33" s="211"/>
      <c r="Z33" s="211"/>
      <c r="AA33" s="211"/>
      <c r="AB33" s="241"/>
      <c r="AC33" s="241"/>
      <c r="AD33" s="241"/>
      <c r="AE33" s="241"/>
      <c r="AF33" s="241"/>
      <c r="AG33" s="241"/>
      <c r="AH33" s="241"/>
      <c r="AI33" s="241"/>
      <c r="AJ33" s="241"/>
      <c r="AK33" s="241"/>
      <c r="AL33" s="241"/>
      <c r="AM33" s="241"/>
      <c r="AN33" s="241"/>
      <c r="AO33" s="241"/>
      <c r="AP33" s="241"/>
      <c r="AQ33" s="249"/>
      <c r="AR33" s="249"/>
      <c r="AS33" s="249"/>
      <c r="AT33" s="249"/>
      <c r="AU33" s="249"/>
      <c r="AV33" s="249"/>
      <c r="AW33" s="249"/>
      <c r="AX33" s="249"/>
      <c r="AY33" s="249"/>
      <c r="AZ33" s="249"/>
      <c r="BA33" s="249"/>
      <c r="BB33" s="249"/>
      <c r="BC33" s="249"/>
      <c r="BD33" s="249"/>
      <c r="BE33" s="249"/>
      <c r="BF33" s="748"/>
      <c r="BG33" s="748"/>
      <c r="BH33" s="748"/>
      <c r="BI33" s="748"/>
      <c r="BJ33" s="748"/>
      <c r="BK33" s="748"/>
      <c r="BL33" s="748"/>
      <c r="BM33" s="748"/>
      <c r="BN33" s="748"/>
      <c r="BO33" s="748"/>
      <c r="BP33" s="748"/>
      <c r="BQ33" s="748"/>
      <c r="BR33" s="748"/>
      <c r="BS33" s="748"/>
      <c r="BT33" s="748"/>
      <c r="BU33" s="249"/>
      <c r="BV33" s="249"/>
      <c r="BW33" s="249"/>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c r="CZ33" s="241">
        <v>123639207</v>
      </c>
      <c r="DA33" s="241">
        <v>123639207</v>
      </c>
      <c r="DB33" s="241"/>
      <c r="DC33" s="241"/>
      <c r="DD33" s="241"/>
      <c r="DE33" s="241"/>
      <c r="DF33" s="241"/>
      <c r="DG33" s="241"/>
      <c r="DH33" s="241">
        <v>89437785</v>
      </c>
      <c r="DI33" s="241">
        <f>+DH33-153868-100525-71730648-17452744</f>
        <v>0</v>
      </c>
      <c r="DJ33" s="241"/>
      <c r="DK33" s="241">
        <f>SUMIFS('1.a sz. Önkormányzat 2022. '!D33:MH33,'1.a sz. Önkormányzat 2022. '!$D$4:$MH$4,"kötelező",'1.a sz. Önkormányzat 2022. '!$D$2:$MH$2,"Eredeti előirányzat")+SUMIFS(D33:DI33,$D$4:$DI$4,"kötelező",$D$2:$DI$2,"Eredeti előirányzat")</f>
        <v>324165396</v>
      </c>
      <c r="DL33" s="211">
        <f>+'1.a sz. Önkormányzat 2022. '!MY33+'1.b sz. Önkormányzat 2022.'!DZ33</f>
        <v>241113962</v>
      </c>
      <c r="DM33" s="241">
        <f>SUMIFS('1.a sz. Önkormányzat 2022. '!E33:MX33,'1.a sz. Önkormányzat 2022. '!$D$4:$MW$4,"kötelező",'1.a sz. Önkormányzat 2022. '!$D$2:$MW$2,"Módosított előirányzat")+SUMIFS(E33:DJ33,$D$4:$DI$4,"kötelező",$D$2:$DI$2,"Módosított előirányzat")</f>
        <v>230887317</v>
      </c>
      <c r="DN33" s="241">
        <f>SUMIFS('1.a sz. Önkormányzat 2022. '!D33:MM33,'1.a sz. Önkormányzat 2022. '!$D$4:$MM$4,"önként vállalt",'1.a sz. Önkormányzat 2022. '!$D$2:$MM$2,"Eredeti előirányzat")+SUMIFS(D33:DI33,$D$4:$DI$4,"önként vállalt",$D$2:$DI$2,"Eredeti előirányzat")</f>
        <v>195518371</v>
      </c>
      <c r="DO33" s="241">
        <f>+'1.a sz. Önkormányzat 2022. '!NA33+'1.b sz. Önkormányzat 2022.'!EB33</f>
        <v>338164549</v>
      </c>
      <c r="DP33" s="241">
        <f>SUMIFS('1.a sz. Önkormányzat 2022. '!E33:MO33,'1.a sz. Önkormányzat 2022. '!$D$4:$MN$4,"önként vállalt",'1.a sz. Önkormányzat 2022. '!$D$2:$MN$2,"Módosított előirányzat")+SUMIFS(E33:DJ33,$D$4:$DI$4,"önként vállalt",$D$2:$DI$2,"Módosított előirányzat")</f>
        <v>335908069</v>
      </c>
      <c r="DQ33" s="241">
        <f>SUMIFS('1.a sz. Önkormányzat 2022. '!D33:MH33,'1.a sz. Önkormányzat 2022. '!$D$4:$MH$4,"államigazgatási",'1.a sz. Önkormányzat 2022. '!$D$2:$MH$2,"Eredeti előirányzat")+SUMIFS(D33:DI33,$D$4:$DI$4,"államigazgatási",$D$2:$DI$2,"Eredeti előirányzat")</f>
        <v>0</v>
      </c>
      <c r="DR33" s="241">
        <f>SUMIFS('1.a sz. Önkormányzat 2022. '!D33:MH33,'1.a sz. Önkormányzat 2022. '!$D$4:$MH$4,"államigazgatási",'1.a sz. Önkormányzat 2022. '!$D$2:$MH$2,"Módosított előirányzat")+SUMIFS(D33:DI33,$D$4:$DI$4,"államigazgatási",$D$2:$DI$2,"Módosított előirányzat")</f>
        <v>0</v>
      </c>
      <c r="DS33" s="241">
        <f>SUMIFS('1.a sz. Önkormányzat 2022. '!E33:MI33,'1.a sz. Önkormányzat 2022. '!$D$4:$MH$4,"államigazgatási",'1.a sz. Önkormányzat 2022. '!$D$2:$MH$2,"Módosított előirányzat")+SUMIFS(E33:DJ33,$D$4:$DI$4,"államigazgatási",$D$2:$DI$2,"Módosított előirányzat")</f>
        <v>0</v>
      </c>
      <c r="DT33" s="241">
        <f t="shared" si="1"/>
        <v>519683767</v>
      </c>
      <c r="DU33" s="241">
        <f t="shared" si="9"/>
        <v>579278511</v>
      </c>
      <c r="DV33" s="211">
        <f t="shared" si="2"/>
        <v>566795386</v>
      </c>
      <c r="DW33" s="383">
        <f>+'1.a sz. Önkormányzat 2022. '!LF33</f>
        <v>0</v>
      </c>
      <c r="DX33" s="383">
        <f>+'1.a sz. Önkormányzat 2022. '!LG33</f>
        <v>0</v>
      </c>
      <c r="DY33" s="383">
        <f>+'1.a sz. Önkormányzat 2022. '!LH33</f>
        <v>0</v>
      </c>
      <c r="DZ33" s="679">
        <f t="shared" si="3"/>
        <v>0</v>
      </c>
      <c r="EA33" s="679">
        <f t="shared" si="4"/>
        <v>0</v>
      </c>
      <c r="EB33" s="676">
        <f t="shared" si="5"/>
        <v>123639207</v>
      </c>
      <c r="EC33" s="676">
        <f t="shared" si="6"/>
        <v>123639207</v>
      </c>
    </row>
    <row r="34" spans="1:136" ht="21.75" customHeight="1" x14ac:dyDescent="0.25">
      <c r="A34" s="208" t="s">
        <v>267</v>
      </c>
      <c r="B34" s="214" t="s">
        <v>245</v>
      </c>
      <c r="C34" s="221" t="s">
        <v>216</v>
      </c>
      <c r="D34" s="241"/>
      <c r="E34" s="241"/>
      <c r="F34" s="241"/>
      <c r="G34" s="241"/>
      <c r="H34" s="241"/>
      <c r="I34" s="241"/>
      <c r="J34" s="241"/>
      <c r="K34" s="241"/>
      <c r="L34" s="241"/>
      <c r="M34" s="241"/>
      <c r="N34" s="241"/>
      <c r="O34" s="241"/>
      <c r="P34" s="241"/>
      <c r="Q34" s="241"/>
      <c r="R34" s="241"/>
      <c r="S34" s="241"/>
      <c r="T34" s="241"/>
      <c r="U34" s="241"/>
      <c r="V34" s="241"/>
      <c r="W34" s="241"/>
      <c r="X34" s="241"/>
      <c r="Y34" s="211"/>
      <c r="Z34" s="211"/>
      <c r="AA34" s="211"/>
      <c r="AB34" s="241"/>
      <c r="AC34" s="241"/>
      <c r="AD34" s="241"/>
      <c r="AE34" s="241"/>
      <c r="AF34" s="241"/>
      <c r="AG34" s="241"/>
      <c r="AH34" s="241"/>
      <c r="AI34" s="241"/>
      <c r="AJ34" s="241"/>
      <c r="AK34" s="241"/>
      <c r="AL34" s="241"/>
      <c r="AM34" s="241"/>
      <c r="AN34" s="241"/>
      <c r="AO34" s="241"/>
      <c r="AP34" s="241"/>
      <c r="AQ34" s="249"/>
      <c r="AR34" s="249"/>
      <c r="AS34" s="249"/>
      <c r="AT34" s="249"/>
      <c r="AU34" s="249"/>
      <c r="AV34" s="249"/>
      <c r="AW34" s="249"/>
      <c r="AX34" s="249"/>
      <c r="AY34" s="249"/>
      <c r="AZ34" s="249"/>
      <c r="BA34" s="249"/>
      <c r="BB34" s="249"/>
      <c r="BC34" s="249"/>
      <c r="BD34" s="249"/>
      <c r="BE34" s="249"/>
      <c r="BF34" s="748"/>
      <c r="BG34" s="748"/>
      <c r="BH34" s="748"/>
      <c r="BI34" s="748"/>
      <c r="BJ34" s="748"/>
      <c r="BK34" s="748"/>
      <c r="BL34" s="748"/>
      <c r="BM34" s="748"/>
      <c r="BN34" s="748"/>
      <c r="BO34" s="748"/>
      <c r="BP34" s="748"/>
      <c r="BQ34" s="748"/>
      <c r="BR34" s="748"/>
      <c r="BS34" s="748"/>
      <c r="BT34" s="748"/>
      <c r="BU34" s="249"/>
      <c r="BV34" s="249"/>
      <c r="BW34" s="249"/>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c r="CZ34" s="241"/>
      <c r="DA34" s="241"/>
      <c r="DB34" s="241"/>
      <c r="DC34" s="241"/>
      <c r="DD34" s="241"/>
      <c r="DE34" s="241"/>
      <c r="DF34" s="241"/>
      <c r="DG34" s="241"/>
      <c r="DH34" s="241"/>
      <c r="DI34" s="241"/>
      <c r="DJ34" s="241"/>
      <c r="DK34" s="241">
        <f>SUMIFS('1.a sz. Önkormányzat 2022. '!D34:MH34,'1.a sz. Önkormányzat 2022. '!$D$4:$MH$4,"kötelező",'1.a sz. Önkormányzat 2022. '!$D$2:$MH$2,"Eredeti előirányzat")+SUMIFS(D34:DI34,$D$4:$DI$4,"kötelező",$D$2:$DI$2,"Eredeti előirányzat")</f>
        <v>0</v>
      </c>
      <c r="DL34" s="211">
        <f>+'1.a sz. Önkormányzat 2022. '!MY34+'1.b sz. Önkormányzat 2022.'!DZ34</f>
        <v>0</v>
      </c>
      <c r="DM34" s="241">
        <f>SUMIFS('1.a sz. Önkormányzat 2022. '!E34:MX34,'1.a sz. Önkormányzat 2022. '!$D$4:$MW$4,"kötelező",'1.a sz. Önkormányzat 2022. '!$D$2:$MW$2,"Módosított előirányzat")+SUMIFS(E34:DJ34,$D$4:$DI$4,"kötelező",$D$2:$DI$2,"Módosított előirányzat")</f>
        <v>0</v>
      </c>
      <c r="DN34" s="241">
        <f>SUMIFS('1.a sz. Önkormányzat 2022. '!D34:MM34,'1.a sz. Önkormányzat 2022. '!$D$4:$MM$4,"önként vállalt",'1.a sz. Önkormányzat 2022. '!$D$2:$MM$2,"Eredeti előirányzat")+SUMIFS(D34:DI34,$D$4:$DI$4,"önként vállalt",$D$2:$DI$2,"Eredeti előirányzat")</f>
        <v>720079203</v>
      </c>
      <c r="DO34" s="241">
        <f>+'1.a sz. Önkormányzat 2022. '!NA34+'1.b sz. Önkormányzat 2022.'!EB34</f>
        <v>741863797</v>
      </c>
      <c r="DP34" s="241">
        <f>SUMIFS('1.a sz. Önkormányzat 2022. '!E34:MO34,'1.a sz. Önkormányzat 2022. '!$D$4:$MN$4,"önként vállalt",'1.a sz. Önkormányzat 2022. '!$D$2:$MN$2,"Módosított előirányzat")+SUMIFS(E34:DJ34,$D$4:$DI$4,"önként vállalt",$D$2:$DI$2,"Módosított előirányzat")</f>
        <v>741863797</v>
      </c>
      <c r="DQ34" s="241">
        <f>SUMIFS('1.a sz. Önkormányzat 2022. '!D34:MH34,'1.a sz. Önkormányzat 2022. '!$D$4:$MH$4,"államigazgatási",'1.a sz. Önkormányzat 2022. '!$D$2:$MH$2,"Eredeti előirányzat")+SUMIFS(D34:DI34,$D$4:$DI$4,"államigazgatási",$D$2:$DI$2,"Eredeti előirányzat")</f>
        <v>0</v>
      </c>
      <c r="DR34" s="241">
        <f>SUMIFS('1.a sz. Önkormányzat 2022. '!D34:MH34,'1.a sz. Önkormányzat 2022. '!$D$4:$MH$4,"államigazgatási",'1.a sz. Önkormányzat 2022. '!$D$2:$MH$2,"Módosított előirányzat")+SUMIFS(D34:DI34,$D$4:$DI$4,"államigazgatási",$D$2:$DI$2,"Módosított előirányzat")</f>
        <v>0</v>
      </c>
      <c r="DS34" s="241">
        <f>SUMIFS('1.a sz. Önkormányzat 2022. '!E34:MI34,'1.a sz. Önkormányzat 2022. '!$D$4:$MH$4,"államigazgatási",'1.a sz. Önkormányzat 2022. '!$D$2:$MH$2,"Módosított előirányzat")+SUMIFS(E34:DJ34,$D$4:$DI$4,"államigazgatási",$D$2:$DI$2,"Módosított előirányzat")</f>
        <v>0</v>
      </c>
      <c r="DT34" s="241">
        <f t="shared" si="1"/>
        <v>720079203</v>
      </c>
      <c r="DU34" s="241">
        <f t="shared" si="9"/>
        <v>741863797</v>
      </c>
      <c r="DV34" s="211">
        <f t="shared" si="2"/>
        <v>741863797</v>
      </c>
      <c r="DW34" s="383">
        <f>+'1.a sz. Önkormányzat 2022. '!LF34</f>
        <v>0</v>
      </c>
      <c r="DX34" s="383">
        <f>+'1.a sz. Önkormányzat 2022. '!LG34</f>
        <v>0</v>
      </c>
      <c r="DY34" s="383">
        <f>+'1.a sz. Önkormányzat 2022. '!LH34</f>
        <v>0</v>
      </c>
      <c r="DZ34" s="679">
        <f t="shared" si="3"/>
        <v>0</v>
      </c>
      <c r="EA34" s="679">
        <f t="shared" si="4"/>
        <v>0</v>
      </c>
      <c r="EB34" s="676">
        <f t="shared" si="5"/>
        <v>0</v>
      </c>
      <c r="EC34" s="676">
        <f t="shared" si="6"/>
        <v>0</v>
      </c>
    </row>
    <row r="35" spans="1:136" ht="21.75" customHeight="1" x14ac:dyDescent="0.25">
      <c r="A35" s="208" t="s">
        <v>268</v>
      </c>
      <c r="B35" s="214" t="s">
        <v>240</v>
      </c>
      <c r="C35" s="221" t="s">
        <v>217</v>
      </c>
      <c r="D35" s="241"/>
      <c r="E35" s="241"/>
      <c r="F35" s="241"/>
      <c r="G35" s="241"/>
      <c r="H35" s="241"/>
      <c r="I35" s="241"/>
      <c r="J35" s="241"/>
      <c r="K35" s="241"/>
      <c r="L35" s="241"/>
      <c r="M35" s="241"/>
      <c r="N35" s="241"/>
      <c r="O35" s="241"/>
      <c r="P35" s="241"/>
      <c r="Q35" s="241"/>
      <c r="R35" s="241"/>
      <c r="S35" s="241"/>
      <c r="T35" s="241"/>
      <c r="U35" s="241"/>
      <c r="V35" s="241"/>
      <c r="W35" s="241"/>
      <c r="X35" s="241"/>
      <c r="Y35" s="211"/>
      <c r="Z35" s="211"/>
      <c r="AA35" s="211"/>
      <c r="AB35" s="241"/>
      <c r="AC35" s="241"/>
      <c r="AD35" s="241"/>
      <c r="AE35" s="241"/>
      <c r="AF35" s="241"/>
      <c r="AG35" s="241"/>
      <c r="AH35" s="241"/>
      <c r="AI35" s="241"/>
      <c r="AJ35" s="241"/>
      <c r="AK35" s="241"/>
      <c r="AL35" s="241"/>
      <c r="AM35" s="241"/>
      <c r="AN35" s="241"/>
      <c r="AO35" s="241"/>
      <c r="AP35" s="241"/>
      <c r="AQ35" s="249"/>
      <c r="AR35" s="249"/>
      <c r="AS35" s="249"/>
      <c r="AT35" s="249"/>
      <c r="AU35" s="249"/>
      <c r="AV35" s="249"/>
      <c r="AW35" s="249"/>
      <c r="AX35" s="249"/>
      <c r="AY35" s="249"/>
      <c r="AZ35" s="249"/>
      <c r="BA35" s="249"/>
      <c r="BB35" s="249"/>
      <c r="BC35" s="249"/>
      <c r="BD35" s="249"/>
      <c r="BE35" s="249"/>
      <c r="BF35" s="748"/>
      <c r="BG35" s="748"/>
      <c r="BH35" s="748"/>
      <c r="BI35" s="748"/>
      <c r="BJ35" s="748"/>
      <c r="BK35" s="748"/>
      <c r="BL35" s="748"/>
      <c r="BM35" s="748"/>
      <c r="BN35" s="748"/>
      <c r="BO35" s="748"/>
      <c r="BP35" s="748"/>
      <c r="BQ35" s="748"/>
      <c r="BR35" s="748"/>
      <c r="BS35" s="748"/>
      <c r="BT35" s="748"/>
      <c r="BU35" s="249"/>
      <c r="BV35" s="249"/>
      <c r="BW35" s="249"/>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f>SUMIFS('1.a sz. Önkormányzat 2022. '!D35:MH35,'1.a sz. Önkormányzat 2022. '!$D$4:$MH$4,"kötelező",'1.a sz. Önkormányzat 2022. '!$D$2:$MH$2,"Eredeti előirányzat")+SUMIFS(D35:DI35,$D$4:$DI$4,"kötelező",$D$2:$DI$2,"Eredeti előirányzat")</f>
        <v>0</v>
      </c>
      <c r="DL35" s="211">
        <f>+'1.a sz. Önkormányzat 2022. '!MY35+'1.b sz. Önkormányzat 2022.'!DZ35</f>
        <v>0</v>
      </c>
      <c r="DM35" s="241">
        <f>SUMIFS('1.a sz. Önkormányzat 2022. '!E35:MX35,'1.a sz. Önkormányzat 2022. '!$D$4:$MW$4,"kötelező",'1.a sz. Önkormányzat 2022. '!$D$2:$MW$2,"Módosított előirányzat")+SUMIFS(E35:DJ35,$D$4:$DI$4,"kötelező",$D$2:$DI$2,"Módosított előirányzat")</f>
        <v>0</v>
      </c>
      <c r="DN35" s="241">
        <f>SUMIFS('1.a sz. Önkormányzat 2022. '!D35:MM35,'1.a sz. Önkormányzat 2022. '!$D$4:$MM$4,"önként vállalt",'1.a sz. Önkormányzat 2022. '!$D$2:$MM$2,"Eredeti előirányzat")+SUMIFS(D35:DI35,$D$4:$DI$4,"önként vállalt",$D$2:$DI$2,"Eredeti előirányzat")</f>
        <v>0</v>
      </c>
      <c r="DO35" s="241">
        <f>+'1.a sz. Önkormányzat 2022. '!NA35+'1.b sz. Önkormányzat 2022.'!EB35</f>
        <v>0</v>
      </c>
      <c r="DP35" s="241">
        <f>SUMIFS('1.a sz. Önkormányzat 2022. '!E35:MO35,'1.a sz. Önkormányzat 2022. '!$D$4:$MN$4,"önként vállalt",'1.a sz. Önkormányzat 2022. '!$D$2:$MN$2,"Módosított előirányzat")+SUMIFS(E35:DJ35,$D$4:$DI$4,"önként vállalt",$D$2:$DI$2,"Módosított előirányzat")</f>
        <v>0</v>
      </c>
      <c r="DQ35" s="241">
        <f>SUMIFS('1.a sz. Önkormányzat 2022. '!D35:MH35,'1.a sz. Önkormányzat 2022. '!$D$4:$MH$4,"államigazgatási",'1.a sz. Önkormányzat 2022. '!$D$2:$MH$2,"Eredeti előirányzat")+SUMIFS(D35:DI35,$D$4:$DI$4,"államigazgatási",$D$2:$DI$2,"Eredeti előirányzat")</f>
        <v>0</v>
      </c>
      <c r="DR35" s="241">
        <f>SUMIFS('1.a sz. Önkormányzat 2022. '!D35:MH35,'1.a sz. Önkormányzat 2022. '!$D$4:$MH$4,"államigazgatási",'1.a sz. Önkormányzat 2022. '!$D$2:$MH$2,"Módosított előirányzat")+SUMIFS(D35:DI35,$D$4:$DI$4,"államigazgatási",$D$2:$DI$2,"Módosított előirányzat")</f>
        <v>0</v>
      </c>
      <c r="DS35" s="241">
        <f>SUMIFS('1.a sz. Önkormányzat 2022. '!E35:MI35,'1.a sz. Önkormányzat 2022. '!$D$4:$MH$4,"államigazgatási",'1.a sz. Önkormányzat 2022. '!$D$2:$MH$2,"Módosított előirányzat")+SUMIFS(E35:DJ35,$D$4:$DI$4,"államigazgatási",$D$2:$DI$2,"Módosított előirányzat")</f>
        <v>0</v>
      </c>
      <c r="DT35" s="241">
        <f t="shared" si="1"/>
        <v>0</v>
      </c>
      <c r="DU35" s="241">
        <f t="shared" si="9"/>
        <v>0</v>
      </c>
      <c r="DV35" s="211">
        <f t="shared" si="2"/>
        <v>0</v>
      </c>
      <c r="DW35" s="383">
        <f>+'1.a sz. Önkormányzat 2022. '!LF35</f>
        <v>0</v>
      </c>
      <c r="DX35" s="383">
        <f>+'1.a sz. Önkormányzat 2022. '!LG35</f>
        <v>0</v>
      </c>
      <c r="DY35" s="383">
        <f>+'1.a sz. Önkormányzat 2022. '!LH35</f>
        <v>0</v>
      </c>
      <c r="DZ35" s="679">
        <f t="shared" si="3"/>
        <v>0</v>
      </c>
      <c r="EA35" s="679">
        <f t="shared" si="4"/>
        <v>0</v>
      </c>
      <c r="EB35" s="676">
        <f t="shared" si="5"/>
        <v>0</v>
      </c>
      <c r="EC35" s="676">
        <f t="shared" si="6"/>
        <v>0</v>
      </c>
      <c r="EF35" s="213">
        <f>+DV23-'2.10. sz. Intézmények összesen'!O43</f>
        <v>0</v>
      </c>
    </row>
    <row r="36" spans="1:136" ht="21.75" customHeight="1" x14ac:dyDescent="0.25">
      <c r="A36" s="208" t="s">
        <v>269</v>
      </c>
      <c r="B36" s="214" t="s">
        <v>241</v>
      </c>
      <c r="C36" s="221" t="s">
        <v>218</v>
      </c>
      <c r="D36" s="241"/>
      <c r="E36" s="241"/>
      <c r="F36" s="241"/>
      <c r="G36" s="241"/>
      <c r="H36" s="241"/>
      <c r="I36" s="241"/>
      <c r="J36" s="241"/>
      <c r="K36" s="241"/>
      <c r="L36" s="241"/>
      <c r="M36" s="241"/>
      <c r="N36" s="241"/>
      <c r="O36" s="241"/>
      <c r="P36" s="241"/>
      <c r="Q36" s="241"/>
      <c r="R36" s="241"/>
      <c r="S36" s="241"/>
      <c r="T36" s="241"/>
      <c r="U36" s="241"/>
      <c r="V36" s="241"/>
      <c r="W36" s="241"/>
      <c r="X36" s="241"/>
      <c r="Y36" s="211"/>
      <c r="Z36" s="211"/>
      <c r="AA36" s="211"/>
      <c r="AB36" s="241"/>
      <c r="AC36" s="241"/>
      <c r="AD36" s="241"/>
      <c r="AE36" s="241"/>
      <c r="AF36" s="241"/>
      <c r="AG36" s="241"/>
      <c r="AH36" s="241"/>
      <c r="AI36" s="241"/>
      <c r="AJ36" s="241"/>
      <c r="AK36" s="241"/>
      <c r="AL36" s="241"/>
      <c r="AM36" s="241"/>
      <c r="AN36" s="241"/>
      <c r="AO36" s="241"/>
      <c r="AP36" s="241"/>
      <c r="AQ36" s="249"/>
      <c r="AR36" s="249"/>
      <c r="AS36" s="249"/>
      <c r="AT36" s="249"/>
      <c r="AU36" s="249"/>
      <c r="AV36" s="249"/>
      <c r="AW36" s="249"/>
      <c r="AX36" s="249"/>
      <c r="AY36" s="249"/>
      <c r="AZ36" s="249"/>
      <c r="BA36" s="249"/>
      <c r="BB36" s="249"/>
      <c r="BC36" s="249"/>
      <c r="BD36" s="249"/>
      <c r="BE36" s="249"/>
      <c r="BF36" s="748"/>
      <c r="BG36" s="748"/>
      <c r="BH36" s="748"/>
      <c r="BI36" s="748"/>
      <c r="BJ36" s="748"/>
      <c r="BK36" s="748"/>
      <c r="BL36" s="748"/>
      <c r="BM36" s="748"/>
      <c r="BN36" s="748"/>
      <c r="BO36" s="748"/>
      <c r="BP36" s="748"/>
      <c r="BQ36" s="748"/>
      <c r="BR36" s="748"/>
      <c r="BS36" s="748"/>
      <c r="BT36" s="748"/>
      <c r="BU36" s="249"/>
      <c r="BV36" s="249"/>
      <c r="BW36" s="249"/>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E36" s="241"/>
      <c r="DF36" s="241"/>
      <c r="DG36" s="241"/>
      <c r="DH36" s="241"/>
      <c r="DI36" s="241"/>
      <c r="DJ36" s="241"/>
      <c r="DK36" s="241">
        <f>SUMIFS('1.a sz. Önkormányzat 2022. '!D36:MH36,'1.a sz. Önkormányzat 2022. '!$D$4:$MH$4,"kötelező",'1.a sz. Önkormányzat 2022. '!$D$2:$MH$2,"Eredeti előirányzat")+SUMIFS(D36:DI36,$D$4:$DI$4,"kötelező",$D$2:$DI$2,"Eredeti előirányzat")</f>
        <v>0</v>
      </c>
      <c r="DL36" s="211">
        <f>+'1.a sz. Önkormányzat 2022. '!MY36+'1.b sz. Önkormányzat 2022.'!DZ36</f>
        <v>0</v>
      </c>
      <c r="DM36" s="241">
        <f>SUMIFS('1.a sz. Önkormányzat 2022. '!E36:MX36,'1.a sz. Önkormányzat 2022. '!$D$4:$MW$4,"kötelező",'1.a sz. Önkormányzat 2022. '!$D$2:$MW$2,"Módosított előirányzat")+SUMIFS(E36:DJ36,$D$4:$DI$4,"kötelező",$D$2:$DI$2,"Módosított előirányzat")</f>
        <v>0</v>
      </c>
      <c r="DN36" s="241">
        <f>SUMIFS('1.a sz. Önkormányzat 2022. '!D36:MM36,'1.a sz. Önkormányzat 2022. '!$D$4:$MM$4,"önként vállalt",'1.a sz. Önkormányzat 2022. '!$D$2:$MM$2,"Eredeti előirányzat")+SUMIFS(D36:DI36,$D$4:$DI$4,"önként vállalt",$D$2:$DI$2,"Eredeti előirányzat")</f>
        <v>1498800</v>
      </c>
      <c r="DO36" s="241">
        <f>+'1.a sz. Önkormányzat 2022. '!NA36+'1.b sz. Önkormányzat 2022.'!EB36</f>
        <v>2489550</v>
      </c>
      <c r="DP36" s="241">
        <f>SUMIFS('1.a sz. Önkormányzat 2022. '!E36:MO36,'1.a sz. Önkormányzat 2022. '!$D$4:$MN$4,"önként vállalt",'1.a sz. Önkormányzat 2022. '!$D$2:$MN$2,"Módosított előirányzat")+SUMIFS(E36:DJ36,$D$4:$DI$4,"önként vállalt",$D$2:$DI$2,"Módosított előirányzat")</f>
        <v>2489550</v>
      </c>
      <c r="DQ36" s="241">
        <f>SUMIFS('1.a sz. Önkormányzat 2022. '!D36:MH36,'1.a sz. Önkormányzat 2022. '!$D$4:$MH$4,"államigazgatási",'1.a sz. Önkormányzat 2022. '!$D$2:$MH$2,"Eredeti előirányzat")+SUMIFS(D36:DI36,$D$4:$DI$4,"államigazgatási",$D$2:$DI$2,"Eredeti előirányzat")</f>
        <v>0</v>
      </c>
      <c r="DR36" s="241">
        <f>SUMIFS('1.a sz. Önkormányzat 2022. '!D36:MH36,'1.a sz. Önkormányzat 2022. '!$D$4:$MH$4,"államigazgatási",'1.a sz. Önkormányzat 2022. '!$D$2:$MH$2,"Módosított előirányzat")+SUMIFS(D36:DI36,$D$4:$DI$4,"államigazgatási",$D$2:$DI$2,"Módosított előirányzat")</f>
        <v>0</v>
      </c>
      <c r="DS36" s="241">
        <f>SUMIFS('1.a sz. Önkormányzat 2022. '!E36:MI36,'1.a sz. Önkormányzat 2022. '!$D$4:$MH$4,"államigazgatási",'1.a sz. Önkormányzat 2022. '!$D$2:$MH$2,"Módosított előirányzat")+SUMIFS(E36:DJ36,$D$4:$DI$4,"államigazgatási",$D$2:$DI$2,"Módosított előirányzat")</f>
        <v>0</v>
      </c>
      <c r="DT36" s="241">
        <f t="shared" si="1"/>
        <v>1498800</v>
      </c>
      <c r="DU36" s="241">
        <f t="shared" si="9"/>
        <v>2489550</v>
      </c>
      <c r="DV36" s="211">
        <f t="shared" si="2"/>
        <v>2489550</v>
      </c>
      <c r="DW36" s="383">
        <f>+'1.a sz. Önkormányzat 2022. '!LF36</f>
        <v>0</v>
      </c>
      <c r="DX36" s="383">
        <f>+'1.a sz. Önkormányzat 2022. '!LG36</f>
        <v>0</v>
      </c>
      <c r="DY36" s="383">
        <f>+'1.a sz. Önkormányzat 2022. '!LH36</f>
        <v>0</v>
      </c>
      <c r="DZ36" s="679">
        <f t="shared" si="3"/>
        <v>0</v>
      </c>
      <c r="EA36" s="679">
        <f t="shared" si="4"/>
        <v>0</v>
      </c>
      <c r="EB36" s="676">
        <f t="shared" si="5"/>
        <v>0</v>
      </c>
      <c r="EC36" s="676">
        <f t="shared" si="6"/>
        <v>0</v>
      </c>
    </row>
    <row r="37" spans="1:136" s="215" customFormat="1" ht="21.75" customHeight="1" x14ac:dyDescent="0.25">
      <c r="A37" s="208" t="s">
        <v>270</v>
      </c>
      <c r="B37" s="217" t="s">
        <v>242</v>
      </c>
      <c r="C37" s="221" t="s">
        <v>219</v>
      </c>
      <c r="D37" s="240">
        <f>SUM(D30:D36)</f>
        <v>0</v>
      </c>
      <c r="E37" s="240">
        <f t="shared" ref="E37:DE37" si="17">SUM(E30:E36)</f>
        <v>0</v>
      </c>
      <c r="F37" s="240">
        <f t="shared" si="17"/>
        <v>0</v>
      </c>
      <c r="G37" s="240">
        <f t="shared" si="17"/>
        <v>0</v>
      </c>
      <c r="H37" s="240">
        <f t="shared" si="17"/>
        <v>0</v>
      </c>
      <c r="I37" s="240">
        <f t="shared" si="17"/>
        <v>0</v>
      </c>
      <c r="J37" s="240">
        <f t="shared" si="17"/>
        <v>0</v>
      </c>
      <c r="K37" s="240">
        <f t="shared" si="17"/>
        <v>0</v>
      </c>
      <c r="L37" s="240">
        <f t="shared" si="17"/>
        <v>0</v>
      </c>
      <c r="M37" s="240">
        <f t="shared" si="17"/>
        <v>0</v>
      </c>
      <c r="N37" s="240">
        <f t="shared" si="17"/>
        <v>0</v>
      </c>
      <c r="O37" s="240">
        <f t="shared" si="17"/>
        <v>0</v>
      </c>
      <c r="P37" s="240">
        <f t="shared" si="17"/>
        <v>0</v>
      </c>
      <c r="Q37" s="240">
        <f t="shared" si="17"/>
        <v>0</v>
      </c>
      <c r="R37" s="240">
        <f t="shared" si="17"/>
        <v>0</v>
      </c>
      <c r="S37" s="240">
        <f t="shared" si="17"/>
        <v>0</v>
      </c>
      <c r="T37" s="240">
        <f t="shared" si="17"/>
        <v>0</v>
      </c>
      <c r="U37" s="240">
        <f t="shared" si="17"/>
        <v>0</v>
      </c>
      <c r="V37" s="240">
        <f t="shared" si="17"/>
        <v>0</v>
      </c>
      <c r="W37" s="240">
        <f t="shared" si="17"/>
        <v>0</v>
      </c>
      <c r="X37" s="240">
        <f t="shared" si="17"/>
        <v>0</v>
      </c>
      <c r="Y37" s="240">
        <f t="shared" si="17"/>
        <v>0</v>
      </c>
      <c r="Z37" s="240">
        <f t="shared" si="17"/>
        <v>0</v>
      </c>
      <c r="AA37" s="240">
        <f t="shared" si="17"/>
        <v>0</v>
      </c>
      <c r="AB37" s="240">
        <f t="shared" si="17"/>
        <v>0</v>
      </c>
      <c r="AC37" s="240">
        <f t="shared" si="17"/>
        <v>0</v>
      </c>
      <c r="AD37" s="240">
        <f t="shared" si="17"/>
        <v>0</v>
      </c>
      <c r="AE37" s="240">
        <f t="shared" si="17"/>
        <v>0</v>
      </c>
      <c r="AF37" s="240">
        <f t="shared" si="17"/>
        <v>0</v>
      </c>
      <c r="AG37" s="240">
        <f t="shared" si="17"/>
        <v>0</v>
      </c>
      <c r="AH37" s="240">
        <f t="shared" si="17"/>
        <v>0</v>
      </c>
      <c r="AI37" s="240">
        <f t="shared" si="17"/>
        <v>0</v>
      </c>
      <c r="AJ37" s="240">
        <f t="shared" si="17"/>
        <v>0</v>
      </c>
      <c r="AK37" s="240">
        <f t="shared" si="17"/>
        <v>0</v>
      </c>
      <c r="AL37" s="240">
        <f t="shared" si="17"/>
        <v>0</v>
      </c>
      <c r="AM37" s="240">
        <f t="shared" si="17"/>
        <v>0</v>
      </c>
      <c r="AN37" s="240">
        <f t="shared" si="17"/>
        <v>0</v>
      </c>
      <c r="AO37" s="240">
        <f t="shared" si="17"/>
        <v>0</v>
      </c>
      <c r="AP37" s="240">
        <f t="shared" si="17"/>
        <v>0</v>
      </c>
      <c r="AQ37" s="240">
        <f t="shared" si="17"/>
        <v>0</v>
      </c>
      <c r="AR37" s="240">
        <f t="shared" si="17"/>
        <v>0</v>
      </c>
      <c r="AS37" s="240">
        <f t="shared" si="17"/>
        <v>0</v>
      </c>
      <c r="AT37" s="240">
        <f t="shared" si="17"/>
        <v>0</v>
      </c>
      <c r="AU37" s="240">
        <f t="shared" si="17"/>
        <v>0</v>
      </c>
      <c r="AV37" s="240">
        <f t="shared" si="17"/>
        <v>0</v>
      </c>
      <c r="AW37" s="240">
        <f t="shared" si="17"/>
        <v>0</v>
      </c>
      <c r="AX37" s="240">
        <f t="shared" si="17"/>
        <v>0</v>
      </c>
      <c r="AY37" s="240">
        <f t="shared" si="17"/>
        <v>0</v>
      </c>
      <c r="AZ37" s="240">
        <f t="shared" si="17"/>
        <v>0</v>
      </c>
      <c r="BA37" s="240">
        <f t="shared" si="17"/>
        <v>0</v>
      </c>
      <c r="BB37" s="240">
        <f t="shared" si="17"/>
        <v>0</v>
      </c>
      <c r="BC37" s="240">
        <f t="shared" si="17"/>
        <v>0</v>
      </c>
      <c r="BD37" s="240">
        <f t="shared" si="17"/>
        <v>0</v>
      </c>
      <c r="BE37" s="240">
        <f t="shared" si="17"/>
        <v>0</v>
      </c>
      <c r="BF37" s="261">
        <f t="shared" si="17"/>
        <v>0</v>
      </c>
      <c r="BG37" s="261">
        <f t="shared" si="17"/>
        <v>0</v>
      </c>
      <c r="BH37" s="261">
        <f t="shared" si="17"/>
        <v>0</v>
      </c>
      <c r="BI37" s="261">
        <f t="shared" si="17"/>
        <v>0</v>
      </c>
      <c r="BJ37" s="261">
        <f t="shared" si="17"/>
        <v>0</v>
      </c>
      <c r="BK37" s="261">
        <f t="shared" si="17"/>
        <v>0</v>
      </c>
      <c r="BL37" s="261">
        <f t="shared" si="17"/>
        <v>0</v>
      </c>
      <c r="BM37" s="261">
        <f t="shared" si="17"/>
        <v>0</v>
      </c>
      <c r="BN37" s="261">
        <f t="shared" si="17"/>
        <v>0</v>
      </c>
      <c r="BO37" s="261">
        <f t="shared" si="17"/>
        <v>0</v>
      </c>
      <c r="BP37" s="261">
        <f t="shared" si="17"/>
        <v>0</v>
      </c>
      <c r="BQ37" s="261">
        <f t="shared" si="17"/>
        <v>0</v>
      </c>
      <c r="BR37" s="261">
        <f t="shared" si="17"/>
        <v>0</v>
      </c>
      <c r="BS37" s="261">
        <f t="shared" si="17"/>
        <v>0</v>
      </c>
      <c r="BT37" s="261">
        <f t="shared" si="17"/>
        <v>0</v>
      </c>
      <c r="BU37" s="240">
        <f t="shared" si="17"/>
        <v>0</v>
      </c>
      <c r="BV37" s="240">
        <f t="shared" si="17"/>
        <v>0</v>
      </c>
      <c r="BW37" s="240">
        <f t="shared" si="17"/>
        <v>0</v>
      </c>
      <c r="BX37" s="240">
        <f t="shared" si="17"/>
        <v>0</v>
      </c>
      <c r="BY37" s="240">
        <f t="shared" si="17"/>
        <v>0</v>
      </c>
      <c r="BZ37" s="240">
        <f t="shared" si="17"/>
        <v>0</v>
      </c>
      <c r="CA37" s="240">
        <f t="shared" si="17"/>
        <v>0</v>
      </c>
      <c r="CB37" s="240">
        <f t="shared" si="17"/>
        <v>0</v>
      </c>
      <c r="CC37" s="240">
        <f t="shared" si="17"/>
        <v>0</v>
      </c>
      <c r="CD37" s="240">
        <f t="shared" si="17"/>
        <v>0</v>
      </c>
      <c r="CE37" s="240">
        <f t="shared" si="17"/>
        <v>630000</v>
      </c>
      <c r="CF37" s="240">
        <f t="shared" si="17"/>
        <v>630000</v>
      </c>
      <c r="CG37" s="240">
        <f t="shared" si="17"/>
        <v>0</v>
      </c>
      <c r="CH37" s="240">
        <f t="shared" si="17"/>
        <v>0</v>
      </c>
      <c r="CI37" s="240">
        <f t="shared" si="17"/>
        <v>0</v>
      </c>
      <c r="CJ37" s="240">
        <f t="shared" si="17"/>
        <v>0</v>
      </c>
      <c r="CK37" s="240">
        <f t="shared" si="17"/>
        <v>0</v>
      </c>
      <c r="CL37" s="240">
        <f t="shared" si="17"/>
        <v>0</v>
      </c>
      <c r="CM37" s="240">
        <f t="shared" si="17"/>
        <v>2278940</v>
      </c>
      <c r="CN37" s="240">
        <f t="shared" si="17"/>
        <v>2278944</v>
      </c>
      <c r="CO37" s="240">
        <f t="shared" si="17"/>
        <v>2278944</v>
      </c>
      <c r="CP37" s="240">
        <f t="shared" si="17"/>
        <v>0</v>
      </c>
      <c r="CQ37" s="240">
        <f t="shared" si="17"/>
        <v>0</v>
      </c>
      <c r="CR37" s="240">
        <f t="shared" si="17"/>
        <v>0</v>
      </c>
      <c r="CS37" s="240">
        <f t="shared" si="17"/>
        <v>0</v>
      </c>
      <c r="CT37" s="240">
        <f t="shared" si="17"/>
        <v>32017</v>
      </c>
      <c r="CU37" s="240">
        <f t="shared" si="17"/>
        <v>32017</v>
      </c>
      <c r="CV37" s="240">
        <f>SUM(CV30:CV36)</f>
        <v>0</v>
      </c>
      <c r="CW37" s="240">
        <f>SUM(CW30:CW36)</f>
        <v>0</v>
      </c>
      <c r="CX37" s="240">
        <f>SUM(CX30:CX36)</f>
        <v>0</v>
      </c>
      <c r="CY37" s="240">
        <f t="shared" si="17"/>
        <v>0</v>
      </c>
      <c r="CZ37" s="240">
        <f t="shared" si="17"/>
        <v>123639207</v>
      </c>
      <c r="DA37" s="240">
        <f t="shared" si="17"/>
        <v>123639207</v>
      </c>
      <c r="DB37" s="240">
        <f t="shared" si="17"/>
        <v>3822360000</v>
      </c>
      <c r="DC37" s="240">
        <f t="shared" si="17"/>
        <v>4719186287</v>
      </c>
      <c r="DD37" s="240">
        <f t="shared" si="17"/>
        <v>4663848531</v>
      </c>
      <c r="DE37" s="240">
        <f t="shared" si="17"/>
        <v>1732867023</v>
      </c>
      <c r="DF37" s="240">
        <f>SUM(DF30:DF36)</f>
        <v>2374477160</v>
      </c>
      <c r="DG37" s="240">
        <f>SUM(DG30:DG36)</f>
        <v>2374477160</v>
      </c>
      <c r="DH37" s="240">
        <f>SUM(DH30:DH36)</f>
        <v>136416896</v>
      </c>
      <c r="DI37" s="240">
        <f>SUM(DI30:DI36)</f>
        <v>0</v>
      </c>
      <c r="DJ37" s="240">
        <f>SUM(DJ30:DJ36)</f>
        <v>0</v>
      </c>
      <c r="DK37" s="240">
        <f>SUMIFS('1.a sz. Önkormányzat 2022. '!D37:MH37,'1.a sz. Önkormányzat 2022. '!$D$4:$MH$4,"kötelező",'1.a sz. Önkormányzat 2022. '!$D$2:$MH$2,"Eredeti előirányzat")+SUMIFS(D37:DI37,$D$4:$DI$4,"kötelező",$D$2:$DI$2,"Eredeti előirányzat")</f>
        <v>5928650470</v>
      </c>
      <c r="DL37" s="261">
        <f>+'1.a sz. Önkormányzat 2022. '!MY37+'1.b sz. Önkormányzat 2022.'!DZ37</f>
        <v>7568880769</v>
      </c>
      <c r="DM37" s="240">
        <f>SUMIFS('1.a sz. Önkormányzat 2022. '!E37:MX37,'1.a sz. Önkormányzat 2022. '!$D$4:$MW$4,"kötelező",'1.a sz. Önkormányzat 2022. '!$D$2:$MW$2,"Módosított előirányzat")+SUMIFS(E37:DJ37,$D$4:$DI$4,"kötelező",$D$2:$DI$2,"Módosított előirányzat")</f>
        <v>7503316368</v>
      </c>
      <c r="DN37" s="240">
        <f>SUMIFS('1.a sz. Önkormányzat 2022. '!D37:MM37,'1.a sz. Önkormányzat 2022. '!$D$4:$MM$4,"önként vállalt",'1.a sz. Önkormányzat 2022. '!$D$2:$MM$2,"Eredeti előirányzat")+SUMIFS(D37:DI37,$D$4:$DI$4,"önként vállalt",$D$2:$DI$2,"Eredeti előirányzat")</f>
        <v>917096374</v>
      </c>
      <c r="DO37" s="240">
        <f>+'1.a sz. Önkormányzat 2022. '!NA37+'1.b sz. Önkormányzat 2022.'!EB37</f>
        <v>1083179913</v>
      </c>
      <c r="DP37" s="240">
        <f>SUMIFS('1.a sz. Önkormányzat 2022. '!E37:MO37,'1.a sz. Önkormányzat 2022. '!$D$4:$MN$4,"önként vállalt",'1.a sz. Önkormányzat 2022. '!$D$2:$MN$2,"Módosított előirányzat")+SUMIFS(E37:DJ37,$D$4:$DI$4,"önként vállalt",$D$2:$DI$2,"Módosított előirányzat")</f>
        <v>1080923433</v>
      </c>
      <c r="DQ37" s="240">
        <f>SUMIFS('1.a sz. Önkormányzat 2022. '!D37:MH37,'1.a sz. Önkormányzat 2022. '!$D$4:$MH$4,"államigazgatási",'1.a sz. Önkormányzat 2022. '!$D$2:$MH$2,"Eredeti előirányzat")+SUMIFS(D37:DI37,$D$4:$DI$4,"államigazgatási",$D$2:$DI$2,"Eredeti előirányzat")</f>
        <v>0</v>
      </c>
      <c r="DR37" s="240">
        <f>SUMIFS('1.a sz. Önkormányzat 2022. '!D37:MH37,'1.a sz. Önkormányzat 2022. '!$D$4:$MH$4,"államigazgatási",'1.a sz. Önkormányzat 2022. '!$D$2:$MH$2,"Módosított előirányzat")+SUMIFS(D37:DI37,$D$4:$DI$4,"államigazgatási",$D$2:$DI$2,"Módosított előirányzat")</f>
        <v>0</v>
      </c>
      <c r="DS37" s="240">
        <f>SUMIFS('1.a sz. Önkormányzat 2022. '!E37:MI37,'1.a sz. Önkormányzat 2022. '!$D$4:$MH$4,"államigazgatási",'1.a sz. Önkormányzat 2022. '!$D$2:$MH$2,"Módosított előirányzat")+SUMIFS(E37:DJ37,$D$4:$DI$4,"államigazgatási",$D$2:$DI$2,"Módosított előirányzat")</f>
        <v>0</v>
      </c>
      <c r="DT37" s="240">
        <f t="shared" si="1"/>
        <v>6845746844</v>
      </c>
      <c r="DU37" s="240">
        <f t="shared" si="9"/>
        <v>8652060682</v>
      </c>
      <c r="DV37" s="261">
        <f t="shared" si="2"/>
        <v>8584239801</v>
      </c>
      <c r="DW37" s="383">
        <f>+'1.a sz. Önkormányzat 2022. '!LF37</f>
        <v>0</v>
      </c>
      <c r="DX37" s="383">
        <f>+'1.a sz. Önkormányzat 2022. '!LG37</f>
        <v>49565206</v>
      </c>
      <c r="DY37" s="383">
        <f>+'1.a sz. Önkormányzat 2022. '!LH37</f>
        <v>49565206</v>
      </c>
      <c r="DZ37" s="679">
        <f t="shared" si="3"/>
        <v>7095942391</v>
      </c>
      <c r="EA37" s="679">
        <f t="shared" si="4"/>
        <v>7040604635</v>
      </c>
      <c r="EB37" s="676">
        <f t="shared" si="5"/>
        <v>124301224</v>
      </c>
      <c r="EC37" s="676">
        <f t="shared" si="6"/>
        <v>124301224</v>
      </c>
    </row>
    <row r="38" spans="1:136" s="215" customFormat="1" ht="21.75" customHeight="1" x14ac:dyDescent="0.25">
      <c r="A38" s="208" t="s">
        <v>271</v>
      </c>
      <c r="B38" s="221" t="s">
        <v>243</v>
      </c>
      <c r="C38" s="210" t="s">
        <v>221</v>
      </c>
      <c r="D38" s="229">
        <f>SUM(D40:D44)</f>
        <v>0</v>
      </c>
      <c r="E38" s="229">
        <f t="shared" ref="E38:DE38" si="18">SUM(E40:E44)</f>
        <v>0</v>
      </c>
      <c r="F38" s="229">
        <f t="shared" si="18"/>
        <v>0</v>
      </c>
      <c r="G38" s="229">
        <f t="shared" si="18"/>
        <v>0</v>
      </c>
      <c r="H38" s="229">
        <f t="shared" si="18"/>
        <v>0</v>
      </c>
      <c r="I38" s="229">
        <f t="shared" si="18"/>
        <v>0</v>
      </c>
      <c r="J38" s="229">
        <f t="shared" si="18"/>
        <v>0</v>
      </c>
      <c r="K38" s="229">
        <f t="shared" si="18"/>
        <v>0</v>
      </c>
      <c r="L38" s="229">
        <f t="shared" si="18"/>
        <v>0</v>
      </c>
      <c r="M38" s="229">
        <f t="shared" si="18"/>
        <v>0</v>
      </c>
      <c r="N38" s="229">
        <f t="shared" si="18"/>
        <v>0</v>
      </c>
      <c r="O38" s="229">
        <f t="shared" si="18"/>
        <v>0</v>
      </c>
      <c r="P38" s="229">
        <f t="shared" si="18"/>
        <v>0</v>
      </c>
      <c r="Q38" s="229">
        <f t="shared" si="18"/>
        <v>0</v>
      </c>
      <c r="R38" s="229">
        <f t="shared" si="18"/>
        <v>0</v>
      </c>
      <c r="S38" s="229">
        <f t="shared" si="18"/>
        <v>0</v>
      </c>
      <c r="T38" s="229">
        <f t="shared" si="18"/>
        <v>0</v>
      </c>
      <c r="U38" s="229">
        <f t="shared" si="18"/>
        <v>0</v>
      </c>
      <c r="V38" s="229">
        <f t="shared" si="18"/>
        <v>0</v>
      </c>
      <c r="W38" s="229">
        <f t="shared" si="18"/>
        <v>0</v>
      </c>
      <c r="X38" s="229">
        <f t="shared" si="18"/>
        <v>0</v>
      </c>
      <c r="Y38" s="229">
        <f t="shared" si="18"/>
        <v>0</v>
      </c>
      <c r="Z38" s="229">
        <f t="shared" si="18"/>
        <v>0</v>
      </c>
      <c r="AA38" s="229">
        <f t="shared" si="18"/>
        <v>0</v>
      </c>
      <c r="AB38" s="229">
        <f t="shared" si="18"/>
        <v>0</v>
      </c>
      <c r="AC38" s="229">
        <f t="shared" si="18"/>
        <v>0</v>
      </c>
      <c r="AD38" s="229">
        <f t="shared" si="18"/>
        <v>0</v>
      </c>
      <c r="AE38" s="229">
        <f t="shared" si="18"/>
        <v>0</v>
      </c>
      <c r="AF38" s="229">
        <f t="shared" si="18"/>
        <v>0</v>
      </c>
      <c r="AG38" s="229">
        <f t="shared" si="18"/>
        <v>0</v>
      </c>
      <c r="AH38" s="229">
        <f t="shared" si="18"/>
        <v>0</v>
      </c>
      <c r="AI38" s="229">
        <f t="shared" si="18"/>
        <v>0</v>
      </c>
      <c r="AJ38" s="229">
        <f t="shared" si="18"/>
        <v>0</v>
      </c>
      <c r="AK38" s="229">
        <f t="shared" si="18"/>
        <v>0</v>
      </c>
      <c r="AL38" s="229">
        <f t="shared" si="18"/>
        <v>0</v>
      </c>
      <c r="AM38" s="229">
        <f t="shared" si="18"/>
        <v>0</v>
      </c>
      <c r="AN38" s="229">
        <f t="shared" si="18"/>
        <v>0</v>
      </c>
      <c r="AO38" s="229">
        <f t="shared" si="18"/>
        <v>0</v>
      </c>
      <c r="AP38" s="229">
        <f t="shared" si="18"/>
        <v>0</v>
      </c>
      <c r="AQ38" s="229">
        <f t="shared" si="18"/>
        <v>0</v>
      </c>
      <c r="AR38" s="229">
        <f t="shared" si="18"/>
        <v>0</v>
      </c>
      <c r="AS38" s="229">
        <f t="shared" si="18"/>
        <v>0</v>
      </c>
      <c r="AT38" s="229">
        <f t="shared" si="18"/>
        <v>0</v>
      </c>
      <c r="AU38" s="229">
        <f t="shared" si="18"/>
        <v>0</v>
      </c>
      <c r="AV38" s="229">
        <f t="shared" si="18"/>
        <v>0</v>
      </c>
      <c r="AW38" s="229">
        <f t="shared" si="18"/>
        <v>0</v>
      </c>
      <c r="AX38" s="229">
        <f t="shared" si="18"/>
        <v>0</v>
      </c>
      <c r="AY38" s="229">
        <f t="shared" si="18"/>
        <v>0</v>
      </c>
      <c r="AZ38" s="229">
        <f t="shared" si="18"/>
        <v>0</v>
      </c>
      <c r="BA38" s="229">
        <f t="shared" si="18"/>
        <v>0</v>
      </c>
      <c r="BB38" s="229">
        <f t="shared" si="18"/>
        <v>0</v>
      </c>
      <c r="BC38" s="229">
        <f t="shared" si="18"/>
        <v>0</v>
      </c>
      <c r="BD38" s="229">
        <f t="shared" si="18"/>
        <v>0</v>
      </c>
      <c r="BE38" s="229">
        <f t="shared" si="18"/>
        <v>0</v>
      </c>
      <c r="BF38" s="258">
        <f t="shared" si="18"/>
        <v>0</v>
      </c>
      <c r="BG38" s="258">
        <f t="shared" si="18"/>
        <v>0</v>
      </c>
      <c r="BH38" s="258">
        <f t="shared" si="18"/>
        <v>0</v>
      </c>
      <c r="BI38" s="258">
        <f t="shared" si="18"/>
        <v>0</v>
      </c>
      <c r="BJ38" s="258">
        <f t="shared" si="18"/>
        <v>0</v>
      </c>
      <c r="BK38" s="258">
        <f t="shared" si="18"/>
        <v>0</v>
      </c>
      <c r="BL38" s="258">
        <f t="shared" si="18"/>
        <v>0</v>
      </c>
      <c r="BM38" s="258">
        <f t="shared" si="18"/>
        <v>0</v>
      </c>
      <c r="BN38" s="258">
        <f t="shared" si="18"/>
        <v>0</v>
      </c>
      <c r="BO38" s="258">
        <f t="shared" si="18"/>
        <v>0</v>
      </c>
      <c r="BP38" s="258">
        <f t="shared" si="18"/>
        <v>0</v>
      </c>
      <c r="BQ38" s="258">
        <f t="shared" si="18"/>
        <v>0</v>
      </c>
      <c r="BR38" s="258">
        <f t="shared" si="18"/>
        <v>0</v>
      </c>
      <c r="BS38" s="258">
        <f t="shared" si="18"/>
        <v>0</v>
      </c>
      <c r="BT38" s="258">
        <f t="shared" si="18"/>
        <v>0</v>
      </c>
      <c r="BU38" s="229">
        <f t="shared" si="18"/>
        <v>0</v>
      </c>
      <c r="BV38" s="229">
        <f t="shared" si="18"/>
        <v>0</v>
      </c>
      <c r="BW38" s="229">
        <f t="shared" si="18"/>
        <v>0</v>
      </c>
      <c r="BX38" s="229">
        <f t="shared" si="18"/>
        <v>0</v>
      </c>
      <c r="BY38" s="229">
        <f t="shared" si="18"/>
        <v>0</v>
      </c>
      <c r="BZ38" s="229">
        <f t="shared" si="18"/>
        <v>0</v>
      </c>
      <c r="CA38" s="229">
        <f t="shared" si="18"/>
        <v>0</v>
      </c>
      <c r="CB38" s="229">
        <f t="shared" si="18"/>
        <v>0</v>
      </c>
      <c r="CC38" s="229">
        <f t="shared" si="18"/>
        <v>0</v>
      </c>
      <c r="CD38" s="229">
        <f t="shared" si="18"/>
        <v>0</v>
      </c>
      <c r="CE38" s="229">
        <f t="shared" si="18"/>
        <v>0</v>
      </c>
      <c r="CF38" s="229">
        <f t="shared" si="18"/>
        <v>0</v>
      </c>
      <c r="CG38" s="229">
        <f t="shared" si="18"/>
        <v>0</v>
      </c>
      <c r="CH38" s="229">
        <f t="shared" si="18"/>
        <v>0</v>
      </c>
      <c r="CI38" s="229">
        <f t="shared" si="18"/>
        <v>0</v>
      </c>
      <c r="CJ38" s="229">
        <f t="shared" si="18"/>
        <v>0</v>
      </c>
      <c r="CK38" s="229">
        <f t="shared" si="18"/>
        <v>0</v>
      </c>
      <c r="CL38" s="229">
        <f t="shared" si="18"/>
        <v>0</v>
      </c>
      <c r="CM38" s="229">
        <f t="shared" si="18"/>
        <v>0</v>
      </c>
      <c r="CN38" s="229">
        <f t="shared" si="18"/>
        <v>0</v>
      </c>
      <c r="CO38" s="229">
        <f t="shared" si="18"/>
        <v>0</v>
      </c>
      <c r="CP38" s="229">
        <f t="shared" si="18"/>
        <v>0</v>
      </c>
      <c r="CQ38" s="229">
        <f t="shared" si="18"/>
        <v>0</v>
      </c>
      <c r="CR38" s="229">
        <f t="shared" si="18"/>
        <v>0</v>
      </c>
      <c r="CS38" s="229">
        <f t="shared" si="18"/>
        <v>0</v>
      </c>
      <c r="CT38" s="229">
        <f t="shared" si="18"/>
        <v>0</v>
      </c>
      <c r="CU38" s="229">
        <f t="shared" si="18"/>
        <v>0</v>
      </c>
      <c r="CV38" s="229">
        <f>SUM(CV40:CV44)</f>
        <v>0</v>
      </c>
      <c r="CW38" s="229">
        <f>SUM(CW40:CW44)</f>
        <v>0</v>
      </c>
      <c r="CX38" s="229">
        <f>SUM(CX40:CX44)</f>
        <v>0</v>
      </c>
      <c r="CY38" s="229">
        <f t="shared" si="18"/>
        <v>0</v>
      </c>
      <c r="CZ38" s="229">
        <f t="shared" si="18"/>
        <v>0</v>
      </c>
      <c r="DA38" s="229">
        <f>SUM(DA40:DA45)</f>
        <v>28200000000</v>
      </c>
      <c r="DB38" s="229">
        <f t="shared" si="18"/>
        <v>0</v>
      </c>
      <c r="DC38" s="229">
        <f t="shared" si="18"/>
        <v>0</v>
      </c>
      <c r="DD38" s="229">
        <f t="shared" si="18"/>
        <v>0</v>
      </c>
      <c r="DE38" s="229">
        <f t="shared" si="18"/>
        <v>0</v>
      </c>
      <c r="DF38" s="229">
        <f>SUM(DF39:DF44)</f>
        <v>367105047</v>
      </c>
      <c r="DG38" s="229">
        <f>SUM(DG39:DG44)</f>
        <v>367105047</v>
      </c>
      <c r="DH38" s="229">
        <f>SUM(DH40:DH44)</f>
        <v>0</v>
      </c>
      <c r="DI38" s="229">
        <f>SUM(DI40:DI44)</f>
        <v>0</v>
      </c>
      <c r="DJ38" s="229">
        <f>SUM(DJ40:DJ44)</f>
        <v>0</v>
      </c>
      <c r="DK38" s="241">
        <f>SUMIFS('1.a sz. Önkormányzat 2022. '!D38:MH38,'1.a sz. Önkormányzat 2022. '!$D$4:$MH$4,"kötelező",'1.a sz. Önkormányzat 2022. '!$D$2:$MH$2,"Eredeti előirányzat")+SUMIFS(D38:DI38,$D$4:$DI$4,"kötelező",$D$2:$DI$2,"Eredeti előirányzat")</f>
        <v>3493957077</v>
      </c>
      <c r="DL38" s="211">
        <f>+'1.a sz. Önkormányzat 2022. '!MY38+'1.b sz. Önkormányzat 2022.'!DZ38</f>
        <v>3971322314</v>
      </c>
      <c r="DM38" s="241">
        <f>SUMIFS('1.a sz. Önkormányzat 2022. '!E38:MX38,'1.a sz. Önkormányzat 2022. '!$D$4:$MW$4,"kötelező",'1.a sz. Önkormányzat 2022. '!$D$2:$MW$2,"Módosított előirányzat")+SUMIFS(E38:DJ38,$D$4:$DI$4,"kötelező",$D$2:$DI$2,"Módosított előirányzat")</f>
        <v>3971322314</v>
      </c>
      <c r="DN38" s="241">
        <f>SUMIFS('1.a sz. Önkormányzat 2022. '!D38:MM38,'1.a sz. Önkormányzat 2022. '!$D$4:$MM$4,"önként vállalt",'1.a sz. Önkormányzat 2022. '!$D$2:$MM$2,"Eredeti előirányzat")+SUMIFS(D38:DI38,$D$4:$DI$4,"önként vállalt",$D$2:$DI$2,"Eredeti előirányzat")</f>
        <v>0</v>
      </c>
      <c r="DO38" s="241">
        <f>+'1.a sz. Önkormányzat 2022. '!NA38+'1.b sz. Önkormányzat 2022.'!EB38</f>
        <v>0</v>
      </c>
      <c r="DP38" s="241">
        <f>SUMIFS('1.a sz. Önkormányzat 2022. '!E38:MO38,'1.a sz. Önkormányzat 2022. '!$D$4:$MN$4,"önként vállalt",'1.a sz. Önkormányzat 2022. '!$D$2:$MN$2,"Módosított előirányzat")+SUMIFS(E38:DJ38,$D$4:$DI$4,"önként vállalt",$D$2:$DI$2,"Módosított előirányzat")</f>
        <v>28200000000</v>
      </c>
      <c r="DQ38" s="241">
        <f>SUMIFS('1.a sz. Önkormányzat 2022. '!D38:MH38,'1.a sz. Önkormányzat 2022. '!$D$4:$MH$4,"államigazgatási",'1.a sz. Önkormányzat 2022. '!$D$2:$MH$2,"Eredeti előirányzat")+SUMIFS(D38:DI38,$D$4:$DI$4,"államigazgatási",$D$2:$DI$2,"Eredeti előirányzat")</f>
        <v>0</v>
      </c>
      <c r="DR38" s="241">
        <f>SUMIFS('1.a sz. Önkormányzat 2022. '!D38:MH38,'1.a sz. Önkormányzat 2022. '!$D$4:$MH$4,"államigazgatási",'1.a sz. Önkormányzat 2022. '!$D$2:$MH$2,"Módosított előirányzat")+SUMIFS(D38:DI38,$D$4:$DI$4,"államigazgatási",$D$2:$DI$2,"Módosított előirányzat")</f>
        <v>0</v>
      </c>
      <c r="DS38" s="241">
        <f>SUMIFS('1.a sz. Önkormányzat 2022. '!E38:MI38,'1.a sz. Önkormányzat 2022. '!$D$4:$MH$4,"államigazgatási",'1.a sz. Önkormányzat 2022. '!$D$2:$MH$2,"Módosított előirányzat")+SUMIFS(E38:DJ38,$D$4:$DI$4,"államigazgatási",$D$2:$DI$2,"Módosított előirányzat")</f>
        <v>0</v>
      </c>
      <c r="DT38" s="241">
        <f t="shared" si="1"/>
        <v>3493957077</v>
      </c>
      <c r="DU38" s="241">
        <f t="shared" si="9"/>
        <v>3971322314</v>
      </c>
      <c r="DV38" s="211">
        <f t="shared" si="2"/>
        <v>32171322314</v>
      </c>
      <c r="DW38" s="383">
        <f>+'1.a sz. Önkormányzat 2022. '!LF38</f>
        <v>0</v>
      </c>
      <c r="DX38" s="383">
        <f>+'1.a sz. Önkormányzat 2022. '!LG38</f>
        <v>0</v>
      </c>
      <c r="DY38" s="383">
        <f>+'1.a sz. Önkormányzat 2022. '!LH38</f>
        <v>0</v>
      </c>
      <c r="DZ38" s="679">
        <f>+E38+H38+K38+N38+Q38+T38+W38+Z38+AC38+AF38+AI38+AL38+AO38+CB38+CN38+DC38+DF38+DI38</f>
        <v>367105047</v>
      </c>
      <c r="EA38" s="679">
        <f t="shared" si="4"/>
        <v>367105047</v>
      </c>
      <c r="EB38" s="676">
        <f t="shared" si="5"/>
        <v>0</v>
      </c>
      <c r="EC38" s="676">
        <f t="shared" si="6"/>
        <v>28200000000</v>
      </c>
      <c r="ED38" s="216">
        <f>+DV39+DV40+DV41</f>
        <v>3971322314</v>
      </c>
    </row>
    <row r="39" spans="1:136" s="215" customFormat="1" ht="21.75" customHeight="1" x14ac:dyDescent="0.25">
      <c r="A39" s="208" t="s">
        <v>272</v>
      </c>
      <c r="B39" s="222" t="s">
        <v>533</v>
      </c>
      <c r="C39" s="210"/>
      <c r="D39" s="229"/>
      <c r="E39" s="229"/>
      <c r="F39" s="229"/>
      <c r="G39" s="229"/>
      <c r="H39" s="229"/>
      <c r="I39" s="229"/>
      <c r="J39" s="229"/>
      <c r="K39" s="229"/>
      <c r="L39" s="229"/>
      <c r="M39" s="229"/>
      <c r="N39" s="229"/>
      <c r="O39" s="229"/>
      <c r="P39" s="229"/>
      <c r="Q39" s="229"/>
      <c r="R39" s="229"/>
      <c r="S39" s="229"/>
      <c r="T39" s="229"/>
      <c r="U39" s="229"/>
      <c r="V39" s="229"/>
      <c r="W39" s="229"/>
      <c r="X39" s="229"/>
      <c r="Y39" s="258"/>
      <c r="Z39" s="258"/>
      <c r="AA39" s="258"/>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58"/>
      <c r="BG39" s="258"/>
      <c r="BH39" s="258"/>
      <c r="BI39" s="258"/>
      <c r="BJ39" s="258"/>
      <c r="BK39" s="258"/>
      <c r="BL39" s="258"/>
      <c r="BM39" s="258"/>
      <c r="BN39" s="258"/>
      <c r="BO39" s="258"/>
      <c r="BP39" s="258"/>
      <c r="BQ39" s="258"/>
      <c r="BR39" s="258"/>
      <c r="BS39" s="258"/>
      <c r="BT39" s="258"/>
      <c r="BU39" s="229"/>
      <c r="BV39" s="229"/>
      <c r="BW39" s="229"/>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229"/>
      <c r="CT39" s="229"/>
      <c r="CU39" s="229"/>
      <c r="CV39" s="229"/>
      <c r="CW39" s="229"/>
      <c r="CX39" s="229"/>
      <c r="CY39" s="229"/>
      <c r="CZ39" s="229">
        <f>44181211+8420273+15009215-67610699</f>
        <v>0</v>
      </c>
      <c r="DA39" s="229"/>
      <c r="DB39" s="229"/>
      <c r="DC39" s="229"/>
      <c r="DD39" s="229"/>
      <c r="DE39" s="229"/>
      <c r="DF39" s="229">
        <v>367105047</v>
      </c>
      <c r="DG39" s="229">
        <v>367105047</v>
      </c>
      <c r="DH39" s="229"/>
      <c r="DI39" s="229"/>
      <c r="DJ39" s="229"/>
      <c r="DK39" s="241">
        <f>SUMIFS('1.a sz. Önkormányzat 2022. '!D39:MH39,'1.a sz. Önkormányzat 2022. '!$D$4:$MH$4,"kötelező",'1.a sz. Önkormányzat 2022. '!$D$2:$MH$2,"Eredeti előirányzat")+SUMIFS(D39:DI39,$D$4:$DI$4,"kötelező",$D$2:$DI$2,"Eredeti előirányzat")</f>
        <v>0</v>
      </c>
      <c r="DL39" s="211">
        <f>+'1.a sz. Önkormányzat 2022. '!MY39+'1.b sz. Önkormányzat 2022.'!DZ39</f>
        <v>367105047</v>
      </c>
      <c r="DM39" s="241">
        <f>SUMIFS('1.a sz. Önkormányzat 2022. '!E39:MX39,'1.a sz. Önkormányzat 2022. '!$D$4:$MW$4,"kötelező",'1.a sz. Önkormányzat 2022. '!$D$2:$MW$2,"Módosított előirányzat")+SUMIFS(E39:DJ39,$D$4:$DI$4,"kötelező",$D$2:$DI$2,"Módosított előirányzat")</f>
        <v>367105047</v>
      </c>
      <c r="DN39" s="241">
        <f>SUMIFS('1.a sz. Önkormányzat 2022. '!D39:MM39,'1.a sz. Önkormányzat 2022. '!$D$4:$MM$4,"önként vállalt",'1.a sz. Önkormányzat 2022. '!$D$2:$MM$2,"Eredeti előirányzat")+SUMIFS(D39:DI39,$D$4:$DI$4,"önként vállalt",$D$2:$DI$2,"Eredeti előirányzat")</f>
        <v>0</v>
      </c>
      <c r="DO39" s="241">
        <f>+'1.a sz. Önkormányzat 2022. '!NA39+'1.b sz. Önkormányzat 2022.'!EB39</f>
        <v>0</v>
      </c>
      <c r="DP39" s="241">
        <f>SUMIFS('1.a sz. Önkormányzat 2022. '!E39:MO39,'1.a sz. Önkormányzat 2022. '!$D$4:$MN$4,"önként vállalt",'1.a sz. Önkormányzat 2022. '!$D$2:$MN$2,"Módosított előirányzat")+SUMIFS(E39:DJ39,$D$4:$DI$4,"önként vállalt",$D$2:$DI$2,"Módosított előirányzat")</f>
        <v>0</v>
      </c>
      <c r="DQ39" s="241">
        <f>SUMIFS('1.a sz. Önkormányzat 2022. '!D39:MH39,'1.a sz. Önkormányzat 2022. '!$D$4:$MH$4,"államigazgatási",'1.a sz. Önkormányzat 2022. '!$D$2:$MH$2,"Eredeti előirányzat")+SUMIFS(D39:DI39,$D$4:$DI$4,"államigazgatási",$D$2:$DI$2,"Eredeti előirányzat")</f>
        <v>0</v>
      </c>
      <c r="DR39" s="241">
        <f>SUMIFS('1.a sz. Önkormányzat 2022. '!D39:MH39,'1.a sz. Önkormányzat 2022. '!$D$4:$MH$4,"államigazgatási",'1.a sz. Önkormányzat 2022. '!$D$2:$MH$2,"Módosított előirányzat")+SUMIFS(D39:DI39,$D$4:$DI$4,"államigazgatási",$D$2:$DI$2,"Módosított előirányzat")</f>
        <v>0</v>
      </c>
      <c r="DS39" s="241">
        <f>SUMIFS('1.a sz. Önkormányzat 2022. '!E39:MI39,'1.a sz. Önkormányzat 2022. '!$D$4:$MH$4,"államigazgatási",'1.a sz. Önkormányzat 2022. '!$D$2:$MH$2,"Módosított előirányzat")+SUMIFS(E39:DJ39,$D$4:$DI$4,"államigazgatási",$D$2:$DI$2,"Módosított előirányzat")</f>
        <v>0</v>
      </c>
      <c r="DT39" s="241">
        <f t="shared" si="1"/>
        <v>0</v>
      </c>
      <c r="DU39" s="241">
        <f t="shared" si="9"/>
        <v>367105047</v>
      </c>
      <c r="DV39" s="211">
        <f t="shared" si="2"/>
        <v>367105047</v>
      </c>
      <c r="DW39" s="383">
        <f>+'1.a sz. Önkormányzat 2022. '!LF39</f>
        <v>0</v>
      </c>
      <c r="DX39" s="383">
        <f>+'1.a sz. Önkormányzat 2022. '!LG39</f>
        <v>0</v>
      </c>
      <c r="DY39" s="383">
        <f>+'1.a sz. Önkormányzat 2022. '!LH39</f>
        <v>0</v>
      </c>
      <c r="DZ39" s="679">
        <f t="shared" si="3"/>
        <v>367105047</v>
      </c>
      <c r="EA39" s="679">
        <f t="shared" si="4"/>
        <v>367105047</v>
      </c>
      <c r="EB39" s="676">
        <f t="shared" si="5"/>
        <v>0</v>
      </c>
      <c r="EC39" s="676">
        <f t="shared" si="6"/>
        <v>0</v>
      </c>
    </row>
    <row r="40" spans="1:136" s="223" customFormat="1" ht="21.75" customHeight="1" x14ac:dyDescent="0.25">
      <c r="A40" s="208" t="s">
        <v>273</v>
      </c>
      <c r="B40" s="222" t="s">
        <v>768</v>
      </c>
      <c r="C40" s="219"/>
      <c r="D40" s="248"/>
      <c r="E40" s="248"/>
      <c r="F40" s="248"/>
      <c r="G40" s="248"/>
      <c r="H40" s="248"/>
      <c r="I40" s="248"/>
      <c r="J40" s="248"/>
      <c r="K40" s="248"/>
      <c r="L40" s="248"/>
      <c r="M40" s="248"/>
      <c r="N40" s="248"/>
      <c r="O40" s="248"/>
      <c r="P40" s="248"/>
      <c r="Q40" s="248"/>
      <c r="R40" s="248"/>
      <c r="S40" s="248"/>
      <c r="T40" s="248"/>
      <c r="U40" s="248"/>
      <c r="V40" s="248"/>
      <c r="W40" s="248"/>
      <c r="X40" s="248"/>
      <c r="Y40" s="300"/>
      <c r="Z40" s="300"/>
      <c r="AA40" s="300"/>
      <c r="AB40" s="248"/>
      <c r="AC40" s="248"/>
      <c r="AD40" s="248"/>
      <c r="AE40" s="248"/>
      <c r="AF40" s="248"/>
      <c r="AG40" s="248"/>
      <c r="AH40" s="248"/>
      <c r="AI40" s="248"/>
      <c r="AJ40" s="248"/>
      <c r="AK40" s="248"/>
      <c r="AL40" s="248"/>
      <c r="AM40" s="248"/>
      <c r="AN40" s="248"/>
      <c r="AO40" s="248"/>
      <c r="AP40" s="248"/>
      <c r="AQ40" s="239"/>
      <c r="AR40" s="239"/>
      <c r="AS40" s="239"/>
      <c r="AT40" s="239"/>
      <c r="AU40" s="239"/>
      <c r="AV40" s="239"/>
      <c r="AW40" s="239"/>
      <c r="AX40" s="239"/>
      <c r="AY40" s="239"/>
      <c r="AZ40" s="239"/>
      <c r="BA40" s="239"/>
      <c r="BB40" s="239"/>
      <c r="BC40" s="239"/>
      <c r="BD40" s="239"/>
      <c r="BE40" s="239"/>
      <c r="BF40" s="260"/>
      <c r="BG40" s="260"/>
      <c r="BH40" s="260"/>
      <c r="BI40" s="260"/>
      <c r="BJ40" s="260"/>
      <c r="BK40" s="260"/>
      <c r="BL40" s="260"/>
      <c r="BM40" s="260"/>
      <c r="BN40" s="260"/>
      <c r="BO40" s="260"/>
      <c r="BP40" s="260"/>
      <c r="BQ40" s="260"/>
      <c r="BR40" s="260"/>
      <c r="BS40" s="260"/>
      <c r="BT40" s="260"/>
      <c r="BU40" s="239"/>
      <c r="BV40" s="239"/>
      <c r="BW40" s="239"/>
      <c r="BX40" s="248"/>
      <c r="BY40" s="248"/>
      <c r="BZ40" s="248"/>
      <c r="CA40" s="248"/>
      <c r="CB40" s="248"/>
      <c r="CC40" s="248"/>
      <c r="CD40" s="248"/>
      <c r="CE40" s="248"/>
      <c r="CF40" s="248"/>
      <c r="CG40" s="248"/>
      <c r="CH40" s="248"/>
      <c r="CI40" s="248"/>
      <c r="CJ40" s="248"/>
      <c r="CK40" s="248"/>
      <c r="CL40" s="248"/>
      <c r="CM40" s="248"/>
      <c r="CN40" s="248"/>
      <c r="CO40" s="248"/>
      <c r="CP40" s="248"/>
      <c r="CQ40" s="248"/>
      <c r="CR40" s="248"/>
      <c r="CS40" s="248"/>
      <c r="CT40" s="248"/>
      <c r="CU40" s="248"/>
      <c r="CV40" s="248"/>
      <c r="CW40" s="248"/>
      <c r="CX40" s="248"/>
      <c r="CY40" s="248"/>
      <c r="CZ40" s="248"/>
      <c r="DA40" s="248"/>
      <c r="DB40" s="248"/>
      <c r="DC40" s="248"/>
      <c r="DD40" s="248"/>
      <c r="DE40" s="248"/>
      <c r="DF40" s="248"/>
      <c r="DG40" s="248"/>
      <c r="DH40" s="248"/>
      <c r="DI40" s="248"/>
      <c r="DJ40" s="248"/>
      <c r="DK40" s="241">
        <f>SUMIFS('1.a sz. Önkormányzat 2022. '!D40:MH40,'1.a sz. Önkormányzat 2022. '!$D$4:$MH$4,"kötelező",'1.a sz. Önkormányzat 2022. '!$D$2:$MH$2,"Eredeti előirányzat")+SUMIFS(D40:DI40,$D$4:$DI$4,"kötelező",$D$2:$DI$2,"Eredeti előirányzat")</f>
        <v>2234951046</v>
      </c>
      <c r="DL40" s="211">
        <f>+'1.a sz. Önkormányzat 2022. '!MY40+'1.b sz. Önkormányzat 2022.'!DZ40</f>
        <v>2234951046</v>
      </c>
      <c r="DM40" s="241">
        <f>SUMIFS('1.a sz. Önkormányzat 2022. '!E40:MX40,'1.a sz. Önkormányzat 2022. '!$D$4:$MW$4,"kötelező",'1.a sz. Önkormányzat 2022. '!$D$2:$MW$2,"Módosított előirányzat")+SUMIFS(E40:DJ40,$D$4:$DI$4,"kötelező",$D$2:$DI$2,"Módosított előirányzat")</f>
        <v>2234951046</v>
      </c>
      <c r="DN40" s="241">
        <f>SUMIFS('1.a sz. Önkormányzat 2022. '!D40:MM40,'1.a sz. Önkormányzat 2022. '!$D$4:$MM$4,"önként vállalt",'1.a sz. Önkormányzat 2022. '!$D$2:$MM$2,"Eredeti előirányzat")+SUMIFS(D40:DI40,$D$4:$DI$4,"önként vállalt",$D$2:$DI$2,"Eredeti előirányzat")</f>
        <v>0</v>
      </c>
      <c r="DO40" s="241">
        <f>+'1.a sz. Önkormányzat 2022. '!NA40+'1.b sz. Önkormányzat 2022.'!EB40</f>
        <v>0</v>
      </c>
      <c r="DP40" s="241">
        <f>SUMIFS('1.a sz. Önkormányzat 2022. '!E40:MO40,'1.a sz. Önkormányzat 2022. '!$D$4:$MN$4,"önként vállalt",'1.a sz. Önkormányzat 2022. '!$D$2:$MN$2,"Módosított előirányzat")+SUMIFS(E40:DJ40,$D$4:$DI$4,"önként vállalt",$D$2:$DI$2,"Módosított előirányzat")</f>
        <v>0</v>
      </c>
      <c r="DQ40" s="241">
        <f>SUMIFS('1.a sz. Önkormányzat 2022. '!D40:MH40,'1.a sz. Önkormányzat 2022. '!$D$4:$MH$4,"államigazgatási",'1.a sz. Önkormányzat 2022. '!$D$2:$MH$2,"Eredeti előirányzat")+SUMIFS(D40:DI40,$D$4:$DI$4,"államigazgatási",$D$2:$DI$2,"Eredeti előirányzat")</f>
        <v>0</v>
      </c>
      <c r="DR40" s="241">
        <f>SUMIFS('1.a sz. Önkormányzat 2022. '!D40:MH40,'1.a sz. Önkormányzat 2022. '!$D$4:$MH$4,"államigazgatási",'1.a sz. Önkormányzat 2022. '!$D$2:$MH$2,"Módosított előirányzat")+SUMIFS(D40:DI40,$D$4:$DI$4,"államigazgatási",$D$2:$DI$2,"Módosított előirányzat")</f>
        <v>0</v>
      </c>
      <c r="DS40" s="241">
        <f>SUMIFS('1.a sz. Önkormányzat 2022. '!E40:MI40,'1.a sz. Önkormányzat 2022. '!$D$4:$MH$4,"államigazgatási",'1.a sz. Önkormányzat 2022. '!$D$2:$MH$2,"Módosított előirányzat")+SUMIFS(E40:DJ40,$D$4:$DI$4,"államigazgatási",$D$2:$DI$2,"Módosított előirányzat")</f>
        <v>0</v>
      </c>
      <c r="DT40" s="241">
        <f t="shared" si="1"/>
        <v>2234951046</v>
      </c>
      <c r="DU40" s="241">
        <f t="shared" si="9"/>
        <v>2234951046</v>
      </c>
      <c r="DV40" s="211">
        <f t="shared" si="2"/>
        <v>2234951046</v>
      </c>
      <c r="DW40" s="383">
        <f>+'1.a sz. Önkormányzat 2022. '!LF40</f>
        <v>0</v>
      </c>
      <c r="DX40" s="383">
        <f>+'1.a sz. Önkormányzat 2022. '!LG40</f>
        <v>0</v>
      </c>
      <c r="DY40" s="383">
        <f>+'1.a sz. Önkormányzat 2022. '!LH40</f>
        <v>0</v>
      </c>
      <c r="DZ40" s="679">
        <f t="shared" si="3"/>
        <v>0</v>
      </c>
      <c r="EA40" s="679">
        <f t="shared" si="4"/>
        <v>0</v>
      </c>
      <c r="EB40" s="676">
        <f t="shared" si="5"/>
        <v>0</v>
      </c>
      <c r="EC40" s="676">
        <f t="shared" si="6"/>
        <v>0</v>
      </c>
    </row>
    <row r="41" spans="1:136" s="223" customFormat="1" ht="21.75" customHeight="1" x14ac:dyDescent="0.25">
      <c r="A41" s="208" t="s">
        <v>277</v>
      </c>
      <c r="B41" s="222" t="s">
        <v>769</v>
      </c>
      <c r="C41" s="219"/>
      <c r="D41" s="248"/>
      <c r="E41" s="248"/>
      <c r="F41" s="248"/>
      <c r="G41" s="248"/>
      <c r="H41" s="248"/>
      <c r="I41" s="248"/>
      <c r="J41" s="248"/>
      <c r="K41" s="248"/>
      <c r="L41" s="248"/>
      <c r="M41" s="248"/>
      <c r="N41" s="248"/>
      <c r="O41" s="248"/>
      <c r="P41" s="248"/>
      <c r="Q41" s="248"/>
      <c r="R41" s="248"/>
      <c r="S41" s="248"/>
      <c r="T41" s="248"/>
      <c r="U41" s="248"/>
      <c r="V41" s="248"/>
      <c r="W41" s="248"/>
      <c r="X41" s="248"/>
      <c r="Y41" s="300"/>
      <c r="Z41" s="300"/>
      <c r="AA41" s="300"/>
      <c r="AB41" s="248"/>
      <c r="AC41" s="248"/>
      <c r="AD41" s="248"/>
      <c r="AE41" s="248"/>
      <c r="AF41" s="248"/>
      <c r="AG41" s="248"/>
      <c r="AH41" s="248"/>
      <c r="AI41" s="248"/>
      <c r="AJ41" s="248"/>
      <c r="AK41" s="248"/>
      <c r="AL41" s="248"/>
      <c r="AM41" s="248"/>
      <c r="AN41" s="248"/>
      <c r="AO41" s="248"/>
      <c r="AP41" s="248"/>
      <c r="AQ41" s="239"/>
      <c r="AR41" s="239"/>
      <c r="AS41" s="239"/>
      <c r="AT41" s="239"/>
      <c r="AU41" s="239"/>
      <c r="AV41" s="239"/>
      <c r="AW41" s="239"/>
      <c r="AX41" s="239"/>
      <c r="AY41" s="239"/>
      <c r="AZ41" s="239"/>
      <c r="BA41" s="239"/>
      <c r="BB41" s="239"/>
      <c r="BC41" s="239"/>
      <c r="BD41" s="239"/>
      <c r="BE41" s="239"/>
      <c r="BF41" s="260"/>
      <c r="BG41" s="260"/>
      <c r="BH41" s="260"/>
      <c r="BI41" s="260"/>
      <c r="BJ41" s="260"/>
      <c r="BK41" s="260"/>
      <c r="BL41" s="260"/>
      <c r="BM41" s="260"/>
      <c r="BN41" s="260"/>
      <c r="BO41" s="260"/>
      <c r="BP41" s="260"/>
      <c r="BQ41" s="260"/>
      <c r="BR41" s="260"/>
      <c r="BS41" s="260"/>
      <c r="BT41" s="260"/>
      <c r="BU41" s="239"/>
      <c r="BV41" s="239"/>
      <c r="BW41" s="239"/>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8"/>
      <c r="DE41" s="248"/>
      <c r="DF41" s="248"/>
      <c r="DG41" s="248"/>
      <c r="DH41" s="248"/>
      <c r="DI41" s="248"/>
      <c r="DJ41" s="248"/>
      <c r="DK41" s="241">
        <f>SUMIFS('1.a sz. Önkormányzat 2022. '!D41:MH41,'1.a sz. Önkormányzat 2022. '!$D$4:$MH$4,"kötelező",'1.a sz. Önkormányzat 2022. '!$D$2:$MH$2,"Eredeti előirányzat")+SUMIFS(D41:DI41,$D$4:$DI$4,"kötelező",$D$2:$DI$2,"Eredeti előirányzat")</f>
        <v>1259006031</v>
      </c>
      <c r="DL41" s="211">
        <f>+'1.a sz. Önkormányzat 2022. '!MY41+'1.b sz. Önkormányzat 2022.'!DZ41</f>
        <v>1369266221</v>
      </c>
      <c r="DM41" s="241">
        <f>SUMIFS('1.a sz. Önkormányzat 2022. '!E41:MX41,'1.a sz. Önkormányzat 2022. '!$D$4:$MW$4,"kötelező",'1.a sz. Önkormányzat 2022. '!$D$2:$MW$2,"Módosított előirányzat")+SUMIFS(E41:DJ41,$D$4:$DI$4,"kötelező",$D$2:$DI$2,"Módosított előirányzat")</f>
        <v>1369266221</v>
      </c>
      <c r="DN41" s="241">
        <f>SUMIFS('1.a sz. Önkormányzat 2022. '!D41:MM41,'1.a sz. Önkormányzat 2022. '!$D$4:$MM$4,"önként vállalt",'1.a sz. Önkormányzat 2022. '!$D$2:$MM$2,"Eredeti előirányzat")+SUMIFS(D41:DI41,$D$4:$DI$4,"önként vállalt",$D$2:$DI$2,"Eredeti előirányzat")</f>
        <v>0</v>
      </c>
      <c r="DO41" s="241">
        <f>+'1.a sz. Önkormányzat 2022. '!NA41+'1.b sz. Önkormányzat 2022.'!EB41</f>
        <v>0</v>
      </c>
      <c r="DP41" s="241">
        <f>SUMIFS('1.a sz. Önkormányzat 2022. '!E41:MO41,'1.a sz. Önkormányzat 2022. '!$D$4:$MN$4,"önként vállalt",'1.a sz. Önkormányzat 2022. '!$D$2:$MN$2,"Módosított előirányzat")+SUMIFS(E41:DJ41,$D$4:$DI$4,"önként vállalt",$D$2:$DI$2,"Módosított előirányzat")</f>
        <v>0</v>
      </c>
      <c r="DQ41" s="241">
        <f>SUMIFS('1.a sz. Önkormányzat 2022. '!D41:MH41,'1.a sz. Önkormányzat 2022. '!$D$4:$MH$4,"államigazgatási",'1.a sz. Önkormányzat 2022. '!$D$2:$MH$2,"Eredeti előirányzat")+SUMIFS(D41:DI41,$D$4:$DI$4,"államigazgatási",$D$2:$DI$2,"Eredeti előirányzat")</f>
        <v>0</v>
      </c>
      <c r="DR41" s="241">
        <f>SUMIFS('1.a sz. Önkormányzat 2022. '!D41:MH41,'1.a sz. Önkormányzat 2022. '!$D$4:$MH$4,"államigazgatási",'1.a sz. Önkormányzat 2022. '!$D$2:$MH$2,"Módosított előirányzat")+SUMIFS(D41:DI41,$D$4:$DI$4,"államigazgatási",$D$2:$DI$2,"Módosított előirányzat")</f>
        <v>0</v>
      </c>
      <c r="DS41" s="241">
        <f>SUMIFS('1.a sz. Önkormányzat 2022. '!E41:MI41,'1.a sz. Önkormányzat 2022. '!$D$4:$MH$4,"államigazgatási",'1.a sz. Önkormányzat 2022. '!$D$2:$MH$2,"Módosított előirányzat")+SUMIFS(E41:DJ41,$D$4:$DI$4,"államigazgatási",$D$2:$DI$2,"Módosított előirányzat")</f>
        <v>0</v>
      </c>
      <c r="DT41" s="241">
        <f t="shared" si="1"/>
        <v>1259006031</v>
      </c>
      <c r="DU41" s="241">
        <f t="shared" si="9"/>
        <v>1369266221</v>
      </c>
      <c r="DV41" s="211">
        <f t="shared" si="2"/>
        <v>1369266221</v>
      </c>
      <c r="DW41" s="383">
        <f>+'1.a sz. Önkormányzat 2022. '!LF41</f>
        <v>0</v>
      </c>
      <c r="DX41" s="383">
        <f>+'1.a sz. Önkormányzat 2022. '!LG41</f>
        <v>0</v>
      </c>
      <c r="DY41" s="383">
        <f>+'1.a sz. Önkormányzat 2022. '!LH41</f>
        <v>0</v>
      </c>
      <c r="DZ41" s="679">
        <f t="shared" si="3"/>
        <v>0</v>
      </c>
      <c r="EA41" s="679">
        <f t="shared" si="4"/>
        <v>0</v>
      </c>
      <c r="EB41" s="676">
        <f t="shared" si="5"/>
        <v>0</v>
      </c>
      <c r="EC41" s="676">
        <f t="shared" si="6"/>
        <v>0</v>
      </c>
    </row>
    <row r="42" spans="1:136" s="223" customFormat="1" ht="21.75" customHeight="1" x14ac:dyDescent="0.25">
      <c r="A42" s="208" t="s">
        <v>278</v>
      </c>
      <c r="B42" s="222" t="s">
        <v>506</v>
      </c>
      <c r="C42" s="219"/>
      <c r="D42" s="248"/>
      <c r="E42" s="248"/>
      <c r="F42" s="248"/>
      <c r="G42" s="248"/>
      <c r="H42" s="248"/>
      <c r="I42" s="248"/>
      <c r="J42" s="248"/>
      <c r="K42" s="248"/>
      <c r="L42" s="248"/>
      <c r="M42" s="248"/>
      <c r="N42" s="248"/>
      <c r="O42" s="248"/>
      <c r="P42" s="248"/>
      <c r="Q42" s="248"/>
      <c r="R42" s="248"/>
      <c r="S42" s="248"/>
      <c r="T42" s="248"/>
      <c r="U42" s="248"/>
      <c r="V42" s="248"/>
      <c r="W42" s="248"/>
      <c r="X42" s="248"/>
      <c r="Y42" s="300"/>
      <c r="Z42" s="300"/>
      <c r="AA42" s="300"/>
      <c r="AB42" s="248"/>
      <c r="AC42" s="248"/>
      <c r="AD42" s="248"/>
      <c r="AE42" s="248"/>
      <c r="AF42" s="248"/>
      <c r="AG42" s="248"/>
      <c r="AH42" s="248"/>
      <c r="AI42" s="248"/>
      <c r="AJ42" s="248"/>
      <c r="AK42" s="248"/>
      <c r="AL42" s="248"/>
      <c r="AM42" s="248"/>
      <c r="AN42" s="248"/>
      <c r="AO42" s="248"/>
      <c r="AP42" s="248"/>
      <c r="AQ42" s="239"/>
      <c r="AR42" s="239"/>
      <c r="AS42" s="239"/>
      <c r="AT42" s="239"/>
      <c r="AU42" s="239"/>
      <c r="AV42" s="239"/>
      <c r="AW42" s="239"/>
      <c r="AX42" s="239"/>
      <c r="AY42" s="239"/>
      <c r="AZ42" s="239"/>
      <c r="BA42" s="239"/>
      <c r="BB42" s="239"/>
      <c r="BC42" s="239"/>
      <c r="BD42" s="239"/>
      <c r="BE42" s="239"/>
      <c r="BF42" s="260"/>
      <c r="BG42" s="260"/>
      <c r="BH42" s="260"/>
      <c r="BI42" s="260"/>
      <c r="BJ42" s="260"/>
      <c r="BK42" s="260"/>
      <c r="BL42" s="260"/>
      <c r="BM42" s="260"/>
      <c r="BN42" s="260"/>
      <c r="BO42" s="260"/>
      <c r="BP42" s="260"/>
      <c r="BQ42" s="260"/>
      <c r="BR42" s="260"/>
      <c r="BS42" s="260"/>
      <c r="BT42" s="260"/>
      <c r="BU42" s="239"/>
      <c r="BV42" s="239"/>
      <c r="BW42" s="239"/>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1">
        <f>SUMIFS('1.a sz. Önkormányzat 2022. '!D42:MH42,'1.a sz. Önkormányzat 2022. '!$D$4:$MH$4,"kötelező",'1.a sz. Önkormányzat 2022. '!$D$2:$MH$2,"Eredeti előirányzat")+SUMIFS(D42:DI42,$D$4:$DI$4,"kötelező",$D$2:$DI$2,"Eredeti előirányzat")</f>
        <v>0</v>
      </c>
      <c r="DL42" s="211">
        <f>+'1.a sz. Önkormányzat 2022. '!MY42+'1.b sz. Önkormányzat 2022.'!DZ42</f>
        <v>0</v>
      </c>
      <c r="DM42" s="241">
        <f>SUMIFS('1.a sz. Önkormányzat 2022. '!E42:MX42,'1.a sz. Önkormányzat 2022. '!$D$4:$MW$4,"kötelező",'1.a sz. Önkormányzat 2022. '!$D$2:$MW$2,"Módosított előirányzat")+SUMIFS(E42:DJ42,$D$4:$DI$4,"kötelező",$D$2:$DI$2,"Módosított előirányzat")</f>
        <v>0</v>
      </c>
      <c r="DN42" s="241">
        <f>SUMIFS('1.a sz. Önkormányzat 2022. '!D42:MM42,'1.a sz. Önkormányzat 2022. '!$D$4:$MM$4,"önként vállalt",'1.a sz. Önkormányzat 2022. '!$D$2:$MM$2,"Eredeti előirányzat")+SUMIFS(D42:DI42,$D$4:$DI$4,"önként vállalt",$D$2:$DI$2,"Eredeti előirányzat")</f>
        <v>0</v>
      </c>
      <c r="DO42" s="241">
        <f>+'1.a sz. Önkormányzat 2022. '!NA42+'1.b sz. Önkormányzat 2022.'!EB42</f>
        <v>0</v>
      </c>
      <c r="DP42" s="241">
        <f>SUMIFS('1.a sz. Önkormányzat 2022. '!E42:MO42,'1.a sz. Önkormányzat 2022. '!$D$4:$MN$4,"önként vállalt",'1.a sz. Önkormányzat 2022. '!$D$2:$MN$2,"Módosított előirányzat")+SUMIFS(E42:DJ42,$D$4:$DI$4,"önként vállalt",$D$2:$DI$2,"Módosított előirányzat")</f>
        <v>0</v>
      </c>
      <c r="DQ42" s="241">
        <f>SUMIFS('1.a sz. Önkormányzat 2022. '!D42:MH42,'1.a sz. Önkormányzat 2022. '!$D$4:$MH$4,"államigazgatási",'1.a sz. Önkormányzat 2022. '!$D$2:$MH$2,"Eredeti előirányzat")+SUMIFS(D42:DI42,$D$4:$DI$4,"államigazgatási",$D$2:$DI$2,"Eredeti előirányzat")</f>
        <v>0</v>
      </c>
      <c r="DR42" s="241">
        <f>SUMIFS('1.a sz. Önkormányzat 2022. '!D42:MH42,'1.a sz. Önkormányzat 2022. '!$D$4:$MH$4,"államigazgatási",'1.a sz. Önkormányzat 2022. '!$D$2:$MH$2,"Módosított előirányzat")+SUMIFS(D42:DI42,$D$4:$DI$4,"államigazgatási",$D$2:$DI$2,"Módosított előirányzat")</f>
        <v>0</v>
      </c>
      <c r="DS42" s="241">
        <f>SUMIFS('1.a sz. Önkormányzat 2022. '!E42:MI42,'1.a sz. Önkormányzat 2022. '!$D$4:$MH$4,"államigazgatási",'1.a sz. Önkormányzat 2022. '!$D$2:$MH$2,"Módosított előirányzat")+SUMIFS(E42:DJ42,$D$4:$DI$4,"államigazgatási",$D$2:$DI$2,"Módosított előirányzat")</f>
        <v>0</v>
      </c>
      <c r="DT42" s="241">
        <f t="shared" si="1"/>
        <v>0</v>
      </c>
      <c r="DU42" s="241">
        <f t="shared" si="9"/>
        <v>0</v>
      </c>
      <c r="DV42" s="211">
        <f t="shared" si="2"/>
        <v>0</v>
      </c>
      <c r="DW42" s="383">
        <f>+'1.a sz. Önkormányzat 2022. '!LF42</f>
        <v>0</v>
      </c>
      <c r="DX42" s="383">
        <f>+'1.a sz. Önkormányzat 2022. '!LG42</f>
        <v>0</v>
      </c>
      <c r="DY42" s="383">
        <f>+'1.a sz. Önkormányzat 2022. '!LH42</f>
        <v>0</v>
      </c>
      <c r="DZ42" s="679">
        <f t="shared" si="3"/>
        <v>0</v>
      </c>
      <c r="EA42" s="679">
        <f t="shared" si="4"/>
        <v>0</v>
      </c>
      <c r="EB42" s="676">
        <f t="shared" si="5"/>
        <v>0</v>
      </c>
      <c r="EC42" s="676">
        <f t="shared" si="6"/>
        <v>0</v>
      </c>
    </row>
    <row r="43" spans="1:136" s="223" customFormat="1" ht="21.75" customHeight="1" x14ac:dyDescent="0.25">
      <c r="A43" s="208" t="s">
        <v>279</v>
      </c>
      <c r="B43" s="222" t="s">
        <v>507</v>
      </c>
      <c r="C43" s="219"/>
      <c r="D43" s="248"/>
      <c r="E43" s="248"/>
      <c r="F43" s="248"/>
      <c r="G43" s="248"/>
      <c r="H43" s="248"/>
      <c r="I43" s="248"/>
      <c r="J43" s="248"/>
      <c r="K43" s="248"/>
      <c r="L43" s="248"/>
      <c r="M43" s="248"/>
      <c r="N43" s="248"/>
      <c r="O43" s="248"/>
      <c r="P43" s="248"/>
      <c r="Q43" s="248"/>
      <c r="R43" s="248"/>
      <c r="S43" s="248"/>
      <c r="T43" s="248"/>
      <c r="U43" s="248"/>
      <c r="V43" s="248"/>
      <c r="W43" s="248"/>
      <c r="X43" s="248"/>
      <c r="Y43" s="300"/>
      <c r="Z43" s="300"/>
      <c r="AA43" s="300"/>
      <c r="AB43" s="248"/>
      <c r="AC43" s="248"/>
      <c r="AD43" s="248"/>
      <c r="AE43" s="248"/>
      <c r="AF43" s="248"/>
      <c r="AG43" s="248"/>
      <c r="AH43" s="248"/>
      <c r="AI43" s="248"/>
      <c r="AJ43" s="248"/>
      <c r="AK43" s="248"/>
      <c r="AL43" s="248"/>
      <c r="AM43" s="248"/>
      <c r="AN43" s="248"/>
      <c r="AO43" s="248"/>
      <c r="AP43" s="248"/>
      <c r="AQ43" s="239"/>
      <c r="AR43" s="239"/>
      <c r="AS43" s="239"/>
      <c r="AT43" s="239"/>
      <c r="AU43" s="239"/>
      <c r="AV43" s="239"/>
      <c r="AW43" s="239"/>
      <c r="AX43" s="239"/>
      <c r="AY43" s="239"/>
      <c r="AZ43" s="239"/>
      <c r="BA43" s="239"/>
      <c r="BB43" s="239"/>
      <c r="BC43" s="239"/>
      <c r="BD43" s="239"/>
      <c r="BE43" s="239"/>
      <c r="BF43" s="260"/>
      <c r="BG43" s="260"/>
      <c r="BH43" s="260"/>
      <c r="BI43" s="260"/>
      <c r="BJ43" s="260"/>
      <c r="BK43" s="260"/>
      <c r="BL43" s="260"/>
      <c r="BM43" s="260"/>
      <c r="BN43" s="260"/>
      <c r="BO43" s="260"/>
      <c r="BP43" s="260"/>
      <c r="BQ43" s="260"/>
      <c r="BR43" s="260"/>
      <c r="BS43" s="260"/>
      <c r="BT43" s="260"/>
      <c r="BU43" s="239"/>
      <c r="BV43" s="239"/>
      <c r="BW43" s="239"/>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1">
        <f>SUMIFS('1.a sz. Önkormányzat 2022. '!D43:MH43,'1.a sz. Önkormányzat 2022. '!$D$4:$MH$4,"kötelező",'1.a sz. Önkormányzat 2022. '!$D$2:$MH$2,"Eredeti előirányzat")+SUMIFS(D43:DI43,$D$4:$DI$4,"kötelező",$D$2:$DI$2,"Eredeti előirányzat")</f>
        <v>0</v>
      </c>
      <c r="DL43" s="211">
        <f>+'1.a sz. Önkormányzat 2022. '!MY43+'1.b sz. Önkormányzat 2022.'!DZ43</f>
        <v>0</v>
      </c>
      <c r="DM43" s="241">
        <f>SUMIFS('1.a sz. Önkormányzat 2022. '!E43:MX43,'1.a sz. Önkormányzat 2022. '!$D$4:$MW$4,"kötelező",'1.a sz. Önkormányzat 2022. '!$D$2:$MW$2,"Módosított előirányzat")+SUMIFS(E43:DJ43,$D$4:$DI$4,"kötelező",$D$2:$DI$2,"Módosított előirányzat")</f>
        <v>0</v>
      </c>
      <c r="DN43" s="241">
        <f>SUMIFS('1.a sz. Önkormányzat 2022. '!D43:MM43,'1.a sz. Önkormányzat 2022. '!$D$4:$MM$4,"önként vállalt",'1.a sz. Önkormányzat 2022. '!$D$2:$MM$2,"Eredeti előirányzat")+SUMIFS(D43:DI43,$D$4:$DI$4,"önként vállalt",$D$2:$DI$2,"Eredeti előirányzat")</f>
        <v>0</v>
      </c>
      <c r="DO43" s="241">
        <f>+'1.a sz. Önkormányzat 2022. '!NA43+'1.b sz. Önkormányzat 2022.'!EB43</f>
        <v>0</v>
      </c>
      <c r="DP43" s="241">
        <f>SUMIFS('1.a sz. Önkormányzat 2022. '!E43:MO43,'1.a sz. Önkormányzat 2022. '!$D$4:$MN$4,"önként vállalt",'1.a sz. Önkormányzat 2022. '!$D$2:$MN$2,"Módosított előirányzat")+SUMIFS(E43:DJ43,$D$4:$DI$4,"önként vállalt",$D$2:$DI$2,"Módosított előirányzat")</f>
        <v>0</v>
      </c>
      <c r="DQ43" s="241">
        <f>SUMIFS('1.a sz. Önkormányzat 2022. '!D43:MH43,'1.a sz. Önkormányzat 2022. '!$D$4:$MH$4,"államigazgatási",'1.a sz. Önkormányzat 2022. '!$D$2:$MH$2,"Eredeti előirányzat")+SUMIFS(D43:DI43,$D$4:$DI$4,"államigazgatási",$D$2:$DI$2,"Eredeti előirányzat")</f>
        <v>0</v>
      </c>
      <c r="DR43" s="241">
        <f>SUMIFS('1.a sz. Önkormányzat 2022. '!D43:MH43,'1.a sz. Önkormányzat 2022. '!$D$4:$MH$4,"államigazgatási",'1.a sz. Önkormányzat 2022. '!$D$2:$MH$2,"Módosított előirányzat")+SUMIFS(D43:DI43,$D$4:$DI$4,"államigazgatási",$D$2:$DI$2,"Módosított előirányzat")</f>
        <v>0</v>
      </c>
      <c r="DS43" s="241">
        <f>SUMIFS('1.a sz. Önkormányzat 2022. '!E43:MI43,'1.a sz. Önkormányzat 2022. '!$D$4:$MH$4,"államigazgatási",'1.a sz. Önkormányzat 2022. '!$D$2:$MH$2,"Módosított előirányzat")+SUMIFS(E43:DJ43,$D$4:$DI$4,"államigazgatási",$D$2:$DI$2,"Módosított előirányzat")</f>
        <v>0</v>
      </c>
      <c r="DT43" s="241">
        <f t="shared" si="1"/>
        <v>0</v>
      </c>
      <c r="DU43" s="241">
        <f t="shared" si="9"/>
        <v>0</v>
      </c>
      <c r="DV43" s="211">
        <f t="shared" si="2"/>
        <v>0</v>
      </c>
      <c r="DW43" s="383">
        <f>+'1.a sz. Önkormányzat 2022. '!LF43</f>
        <v>0</v>
      </c>
      <c r="DX43" s="383">
        <f>+'1.a sz. Önkormányzat 2022. '!LG43</f>
        <v>0</v>
      </c>
      <c r="DY43" s="383">
        <f>+'1.a sz. Önkormányzat 2022. '!LH43</f>
        <v>0</v>
      </c>
      <c r="DZ43" s="679">
        <f t="shared" si="3"/>
        <v>0</v>
      </c>
      <c r="EA43" s="679">
        <f t="shared" si="4"/>
        <v>0</v>
      </c>
      <c r="EB43" s="676">
        <f t="shared" si="5"/>
        <v>0</v>
      </c>
      <c r="EC43" s="676">
        <f t="shared" si="6"/>
        <v>0</v>
      </c>
    </row>
    <row r="44" spans="1:136" s="223" customFormat="1" ht="21.75" customHeight="1" x14ac:dyDescent="0.25">
      <c r="A44" s="208" t="s">
        <v>280</v>
      </c>
      <c r="B44" s="222" t="s">
        <v>542</v>
      </c>
      <c r="C44" s="219"/>
      <c r="D44" s="248"/>
      <c r="E44" s="248"/>
      <c r="F44" s="248"/>
      <c r="G44" s="248"/>
      <c r="H44" s="248"/>
      <c r="I44" s="248"/>
      <c r="J44" s="248"/>
      <c r="K44" s="248"/>
      <c r="L44" s="248"/>
      <c r="M44" s="248"/>
      <c r="N44" s="248"/>
      <c r="O44" s="248"/>
      <c r="P44" s="248"/>
      <c r="Q44" s="248"/>
      <c r="R44" s="248"/>
      <c r="S44" s="248"/>
      <c r="T44" s="248"/>
      <c r="U44" s="248"/>
      <c r="V44" s="248"/>
      <c r="W44" s="248"/>
      <c r="X44" s="248"/>
      <c r="Y44" s="300"/>
      <c r="Z44" s="300"/>
      <c r="AA44" s="300"/>
      <c r="AB44" s="248"/>
      <c r="AC44" s="248"/>
      <c r="AD44" s="248"/>
      <c r="AE44" s="248"/>
      <c r="AF44" s="248"/>
      <c r="AG44" s="248"/>
      <c r="AH44" s="248"/>
      <c r="AI44" s="248"/>
      <c r="AJ44" s="248"/>
      <c r="AK44" s="248"/>
      <c r="AL44" s="248"/>
      <c r="AM44" s="248"/>
      <c r="AN44" s="248"/>
      <c r="AO44" s="248"/>
      <c r="AP44" s="248"/>
      <c r="AQ44" s="239"/>
      <c r="AR44" s="239"/>
      <c r="AS44" s="239"/>
      <c r="AT44" s="239"/>
      <c r="AU44" s="239"/>
      <c r="AV44" s="239"/>
      <c r="AW44" s="239"/>
      <c r="AX44" s="239"/>
      <c r="AY44" s="239"/>
      <c r="AZ44" s="239"/>
      <c r="BA44" s="239"/>
      <c r="BB44" s="239"/>
      <c r="BC44" s="239"/>
      <c r="BD44" s="239"/>
      <c r="BE44" s="239"/>
      <c r="BF44" s="260"/>
      <c r="BG44" s="260"/>
      <c r="BH44" s="260"/>
      <c r="BI44" s="260"/>
      <c r="BJ44" s="260"/>
      <c r="BK44" s="260"/>
      <c r="BL44" s="260"/>
      <c r="BM44" s="260"/>
      <c r="BN44" s="260"/>
      <c r="BO44" s="260"/>
      <c r="BP44" s="260"/>
      <c r="BQ44" s="260"/>
      <c r="BR44" s="260"/>
      <c r="BS44" s="260"/>
      <c r="BT44" s="260"/>
      <c r="BU44" s="239"/>
      <c r="BV44" s="239"/>
      <c r="BW44" s="239"/>
      <c r="BX44" s="248"/>
      <c r="BY44" s="248"/>
      <c r="BZ44" s="248"/>
      <c r="CA44" s="248"/>
      <c r="CB44" s="248"/>
      <c r="CC44" s="248"/>
      <c r="CD44" s="248"/>
      <c r="CE44" s="248"/>
      <c r="CF44" s="248"/>
      <c r="CG44" s="248"/>
      <c r="CH44" s="248"/>
      <c r="CI44" s="248"/>
      <c r="CJ44" s="248"/>
      <c r="CK44" s="248"/>
      <c r="CL44" s="248"/>
      <c r="CM44" s="248"/>
      <c r="CN44" s="248"/>
      <c r="CO44" s="248"/>
      <c r="CP44" s="248"/>
      <c r="CQ44" s="248"/>
      <c r="CR44" s="248"/>
      <c r="CS44" s="248"/>
      <c r="CT44" s="248"/>
      <c r="CU44" s="248"/>
      <c r="CV44" s="248"/>
      <c r="CW44" s="248"/>
      <c r="CX44" s="248"/>
      <c r="CY44" s="248"/>
      <c r="CZ44" s="248"/>
      <c r="DA44" s="248"/>
      <c r="DB44" s="248"/>
      <c r="DC44" s="248"/>
      <c r="DD44" s="248"/>
      <c r="DE44" s="248"/>
      <c r="DF44" s="248"/>
      <c r="DG44" s="248"/>
      <c r="DH44" s="248"/>
      <c r="DI44" s="248"/>
      <c r="DJ44" s="248"/>
      <c r="DK44" s="241">
        <f>SUMIFS('1.a sz. Önkormányzat 2022. '!D44:MH44,'1.a sz. Önkormányzat 2022. '!$D$4:$MH$4,"kötelező",'1.a sz. Önkormányzat 2022. '!$D$2:$MH$2,"Eredeti előirányzat")+SUMIFS(D44:DI44,$D$4:$DI$4,"kötelező",$D$2:$DI$2,"Eredeti előirányzat")</f>
        <v>0</v>
      </c>
      <c r="DL44" s="211">
        <f>+'1.a sz. Önkormányzat 2022. '!MY44+'1.b sz. Önkormányzat 2022.'!DZ44</f>
        <v>0</v>
      </c>
      <c r="DM44" s="241">
        <f>SUMIFS('1.a sz. Önkormányzat 2022. '!E44:MX44,'1.a sz. Önkormányzat 2022. '!$D$4:$MW$4,"kötelező",'1.a sz. Önkormányzat 2022. '!$D$2:$MW$2,"Módosított előirányzat")+SUMIFS(E44:DJ44,$D$4:$DI$4,"kötelező",$D$2:$DI$2,"Módosított előirányzat")</f>
        <v>0</v>
      </c>
      <c r="DN44" s="241">
        <f>SUMIFS('1.a sz. Önkormányzat 2022. '!D44:MM44,'1.a sz. Önkormányzat 2022. '!$D$4:$MM$4,"önként vállalt",'1.a sz. Önkormányzat 2022. '!$D$2:$MM$2,"Eredeti előirányzat")+SUMIFS(D44:DI44,$D$4:$DI$4,"önként vállalt",$D$2:$DI$2,"Eredeti előirányzat")</f>
        <v>0</v>
      </c>
      <c r="DO44" s="241">
        <f>+'1.a sz. Önkormányzat 2022. '!NA44+'1.b sz. Önkormányzat 2022.'!EB44</f>
        <v>0</v>
      </c>
      <c r="DP44" s="241">
        <f>SUMIFS('1.a sz. Önkormányzat 2022. '!E44:MO44,'1.a sz. Önkormányzat 2022. '!$D$4:$MN$4,"önként vállalt",'1.a sz. Önkormányzat 2022. '!$D$2:$MN$2,"Módosított előirányzat")+SUMIFS(E44:DJ44,$D$4:$DI$4,"önként vállalt",$D$2:$DI$2,"Módosított előirányzat")</f>
        <v>0</v>
      </c>
      <c r="DQ44" s="241">
        <f>SUMIFS('1.a sz. Önkormányzat 2022. '!D44:MH44,'1.a sz. Önkormányzat 2022. '!$D$4:$MH$4,"államigazgatási",'1.a sz. Önkormányzat 2022. '!$D$2:$MH$2,"Eredeti előirányzat")+SUMIFS(D44:DI44,$D$4:$DI$4,"államigazgatási",$D$2:$DI$2,"Eredeti előirányzat")</f>
        <v>0</v>
      </c>
      <c r="DR44" s="241">
        <f>SUMIFS('1.a sz. Önkormányzat 2022. '!D44:MH44,'1.a sz. Önkormányzat 2022. '!$D$4:$MH$4,"államigazgatási",'1.a sz. Önkormányzat 2022. '!$D$2:$MH$2,"Módosított előirányzat")+SUMIFS(D44:DI44,$D$4:$DI$4,"államigazgatási",$D$2:$DI$2,"Módosított előirányzat")</f>
        <v>0</v>
      </c>
      <c r="DS44" s="241">
        <f>SUMIFS('1.a sz. Önkormányzat 2022. '!E44:MI44,'1.a sz. Önkormányzat 2022. '!$D$4:$MH$4,"államigazgatási",'1.a sz. Önkormányzat 2022. '!$D$2:$MH$2,"Módosított előirányzat")+SUMIFS(E44:DJ44,$D$4:$DI$4,"államigazgatási",$D$2:$DI$2,"Módosított előirányzat")</f>
        <v>0</v>
      </c>
      <c r="DT44" s="241">
        <f t="shared" si="1"/>
        <v>0</v>
      </c>
      <c r="DU44" s="241">
        <f t="shared" si="9"/>
        <v>0</v>
      </c>
      <c r="DV44" s="211">
        <f t="shared" si="2"/>
        <v>0</v>
      </c>
      <c r="DW44" s="383">
        <f>+'1.a sz. Önkormányzat 2022. '!LF44</f>
        <v>0</v>
      </c>
      <c r="DX44" s="383">
        <f>+'1.a sz. Önkormányzat 2022. '!LG44</f>
        <v>0</v>
      </c>
      <c r="DY44" s="383">
        <f>+'1.a sz. Önkormányzat 2022. '!LH44</f>
        <v>0</v>
      </c>
      <c r="DZ44" s="679">
        <f t="shared" si="3"/>
        <v>0</v>
      </c>
      <c r="EA44" s="679">
        <f t="shared" si="4"/>
        <v>0</v>
      </c>
      <c r="EB44" s="676">
        <f t="shared" si="5"/>
        <v>0</v>
      </c>
      <c r="EC44" s="676">
        <f t="shared" si="6"/>
        <v>0</v>
      </c>
    </row>
    <row r="45" spans="1:136" s="223" customFormat="1" ht="21.75" customHeight="1" x14ac:dyDescent="0.25">
      <c r="A45" s="208" t="s">
        <v>281</v>
      </c>
      <c r="B45" s="222" t="s">
        <v>741</v>
      </c>
      <c r="C45" s="219"/>
      <c r="D45" s="248"/>
      <c r="E45" s="248"/>
      <c r="F45" s="248"/>
      <c r="G45" s="248"/>
      <c r="H45" s="248"/>
      <c r="I45" s="248"/>
      <c r="J45" s="248"/>
      <c r="K45" s="248"/>
      <c r="L45" s="248"/>
      <c r="M45" s="248"/>
      <c r="N45" s="248"/>
      <c r="O45" s="248"/>
      <c r="P45" s="248"/>
      <c r="Q45" s="248"/>
      <c r="R45" s="248"/>
      <c r="S45" s="248"/>
      <c r="T45" s="248"/>
      <c r="U45" s="248"/>
      <c r="V45" s="248"/>
      <c r="W45" s="248"/>
      <c r="X45" s="248"/>
      <c r="Y45" s="300"/>
      <c r="Z45" s="300"/>
      <c r="AA45" s="300"/>
      <c r="AB45" s="248"/>
      <c r="AC45" s="248"/>
      <c r="AD45" s="248"/>
      <c r="AE45" s="248"/>
      <c r="AF45" s="248"/>
      <c r="AG45" s="248"/>
      <c r="AH45" s="248"/>
      <c r="AI45" s="248"/>
      <c r="AJ45" s="248"/>
      <c r="AK45" s="248"/>
      <c r="AL45" s="248"/>
      <c r="AM45" s="248"/>
      <c r="AN45" s="248"/>
      <c r="AO45" s="248"/>
      <c r="AP45" s="248"/>
      <c r="AQ45" s="239"/>
      <c r="AR45" s="239"/>
      <c r="AS45" s="239"/>
      <c r="AT45" s="239"/>
      <c r="AU45" s="239"/>
      <c r="AV45" s="239"/>
      <c r="AW45" s="239"/>
      <c r="AX45" s="239"/>
      <c r="AY45" s="239"/>
      <c r="AZ45" s="239"/>
      <c r="BA45" s="239"/>
      <c r="BB45" s="239"/>
      <c r="BC45" s="239"/>
      <c r="BD45" s="239"/>
      <c r="BE45" s="239"/>
      <c r="BF45" s="260"/>
      <c r="BG45" s="260"/>
      <c r="BH45" s="260"/>
      <c r="BI45" s="260"/>
      <c r="BJ45" s="260"/>
      <c r="BK45" s="260"/>
      <c r="BL45" s="260"/>
      <c r="BM45" s="260"/>
      <c r="BN45" s="260"/>
      <c r="BO45" s="260"/>
      <c r="BP45" s="260"/>
      <c r="BQ45" s="260"/>
      <c r="BR45" s="260"/>
      <c r="BS45" s="260"/>
      <c r="BT45" s="260"/>
      <c r="BU45" s="239"/>
      <c r="BV45" s="239"/>
      <c r="BW45" s="239"/>
      <c r="BX45" s="248"/>
      <c r="BY45" s="248"/>
      <c r="BZ45" s="248"/>
      <c r="CA45" s="248"/>
      <c r="CB45" s="248"/>
      <c r="CC45" s="248"/>
      <c r="CD45" s="248"/>
      <c r="CE45" s="248"/>
      <c r="CF45" s="248"/>
      <c r="CG45" s="248"/>
      <c r="CH45" s="248"/>
      <c r="CI45" s="248"/>
      <c r="CJ45" s="248"/>
      <c r="CK45" s="248"/>
      <c r="CL45" s="248"/>
      <c r="CM45" s="248"/>
      <c r="CN45" s="248"/>
      <c r="CO45" s="248"/>
      <c r="CP45" s="248"/>
      <c r="CQ45" s="248"/>
      <c r="CR45" s="248"/>
      <c r="CS45" s="248"/>
      <c r="CT45" s="248"/>
      <c r="CU45" s="248"/>
      <c r="CV45" s="248"/>
      <c r="CW45" s="248"/>
      <c r="CX45" s="248"/>
      <c r="CY45" s="248"/>
      <c r="CZ45" s="248"/>
      <c r="DA45" s="248">
        <v>28200000000</v>
      </c>
      <c r="DB45" s="248"/>
      <c r="DC45" s="248"/>
      <c r="DD45" s="248"/>
      <c r="DE45" s="248"/>
      <c r="DF45" s="248"/>
      <c r="DG45" s="248"/>
      <c r="DH45" s="248"/>
      <c r="DI45" s="248"/>
      <c r="DJ45" s="248"/>
      <c r="DK45" s="241">
        <f>SUMIFS('1.a sz. Önkormányzat 2022. '!D45:MH45,'1.a sz. Önkormányzat 2022. '!$D$4:$MH$4,"kötelező",'1.a sz. Önkormányzat 2022. '!$D$2:$MH$2,"Eredeti előirányzat")+SUMIFS(D45:DI45,$D$4:$DI$4,"kötelező",$D$2:$DI$2,"Eredeti előirányzat")</f>
        <v>0</v>
      </c>
      <c r="DL45" s="211">
        <f>+'1.a sz. Önkormányzat 2022. '!MY45+'1.b sz. Önkormányzat 2022.'!DZ45</f>
        <v>0</v>
      </c>
      <c r="DM45" s="241">
        <f>SUMIFS('1.a sz. Önkormányzat 2022. '!E45:MX45,'1.a sz. Önkormányzat 2022. '!$D$4:$MW$4,"kötelező",'1.a sz. Önkormányzat 2022. '!$D$2:$MW$2,"Módosított előirányzat")+SUMIFS(E45:DJ45,$D$4:$DI$4,"kötelező",$D$2:$DI$2,"Módosított előirányzat")</f>
        <v>0</v>
      </c>
      <c r="DN45" s="241">
        <f>SUMIFS('1.a sz. Önkormányzat 2022. '!D45:MM45,'1.a sz. Önkormányzat 2022. '!$D$4:$MM$4,"önként vállalt",'1.a sz. Önkormányzat 2022. '!$D$2:$MM$2,"Eredeti előirányzat")+SUMIFS(D45:DI45,$D$4:$DI$4,"önként vállalt",$D$2:$DI$2,"Eredeti előirányzat")</f>
        <v>0</v>
      </c>
      <c r="DO45" s="241">
        <f>+'1.a sz. Önkormányzat 2022. '!NA45+'1.b sz. Önkormányzat 2022.'!EB45</f>
        <v>0</v>
      </c>
      <c r="DP45" s="241">
        <f>SUMIFS('1.a sz. Önkormányzat 2022. '!E45:MO45,'1.a sz. Önkormányzat 2022. '!$D$4:$MN$4,"önként vállalt",'1.a sz. Önkormányzat 2022. '!$D$2:$MN$2,"Módosított előirányzat")+SUMIFS(E45:DJ45,$D$4:$DI$4,"önként vállalt",$D$2:$DI$2,"Módosított előirányzat")</f>
        <v>28200000000</v>
      </c>
      <c r="DQ45" s="241">
        <f>SUMIFS('1.a sz. Önkormányzat 2022. '!D45:MH45,'1.a sz. Önkormányzat 2022. '!$D$4:$MH$4,"államigazgatási",'1.a sz. Önkormányzat 2022. '!$D$2:$MH$2,"Eredeti előirányzat")+SUMIFS(D45:DI45,$D$4:$DI$4,"államigazgatási",$D$2:$DI$2,"Eredeti előirányzat")</f>
        <v>0</v>
      </c>
      <c r="DR45" s="241">
        <f>SUMIFS('1.a sz. Önkormányzat 2022. '!D45:MH45,'1.a sz. Önkormányzat 2022. '!$D$4:$MH$4,"államigazgatási",'1.a sz. Önkormányzat 2022. '!$D$2:$MH$2,"Módosított előirányzat")+SUMIFS(D45:DI45,$D$4:$DI$4,"államigazgatási",$D$2:$DI$2,"Módosított előirányzat")</f>
        <v>0</v>
      </c>
      <c r="DS45" s="241">
        <f>SUMIFS('1.a sz. Önkormányzat 2022. '!E45:MI45,'1.a sz. Önkormányzat 2022. '!$D$4:$MH$4,"államigazgatási",'1.a sz. Önkormányzat 2022. '!$D$2:$MH$2,"Módosított előirányzat")+SUMIFS(E45:DJ45,$D$4:$DI$4,"államigazgatási",$D$2:$DI$2,"Módosított előirányzat")</f>
        <v>0</v>
      </c>
      <c r="DT45" s="241">
        <f t="shared" si="1"/>
        <v>0</v>
      </c>
      <c r="DU45" s="241">
        <f t="shared" si="9"/>
        <v>0</v>
      </c>
      <c r="DV45" s="211">
        <f t="shared" si="2"/>
        <v>28200000000</v>
      </c>
      <c r="DW45" s="383">
        <f>+'1.a sz. Önkormányzat 2022. '!LF45</f>
        <v>0</v>
      </c>
      <c r="DX45" s="383">
        <f>+'1.a sz. Önkormányzat 2022. '!LG45</f>
        <v>0</v>
      </c>
      <c r="DY45" s="383">
        <f>+'1.a sz. Önkormányzat 2022. '!LH45</f>
        <v>0</v>
      </c>
      <c r="DZ45" s="679">
        <f t="shared" si="3"/>
        <v>0</v>
      </c>
      <c r="EA45" s="679">
        <f t="shared" si="4"/>
        <v>0</v>
      </c>
      <c r="EB45" s="676">
        <f t="shared" si="5"/>
        <v>0</v>
      </c>
      <c r="EC45" s="676">
        <f t="shared" si="6"/>
        <v>28200000000</v>
      </c>
    </row>
    <row r="46" spans="1:136" s="215" customFormat="1" ht="21.75" customHeight="1" x14ac:dyDescent="0.25">
      <c r="A46" s="208" t="s">
        <v>282</v>
      </c>
      <c r="B46" s="224" t="s">
        <v>109</v>
      </c>
      <c r="C46" s="210"/>
      <c r="D46" s="229">
        <f>+D30+D32+D33+D35+D40+D42+D45</f>
        <v>0</v>
      </c>
      <c r="E46" s="229">
        <f t="shared" ref="E46:CY46" si="19">+E30+E32+E33+E35+E40+E42+E45</f>
        <v>0</v>
      </c>
      <c r="F46" s="229">
        <f t="shared" si="19"/>
        <v>0</v>
      </c>
      <c r="G46" s="229">
        <f t="shared" si="19"/>
        <v>0</v>
      </c>
      <c r="H46" s="229">
        <f t="shared" si="19"/>
        <v>0</v>
      </c>
      <c r="I46" s="229">
        <f t="shared" si="19"/>
        <v>0</v>
      </c>
      <c r="J46" s="229">
        <f t="shared" si="19"/>
        <v>0</v>
      </c>
      <c r="K46" s="229">
        <f t="shared" si="19"/>
        <v>0</v>
      </c>
      <c r="L46" s="229">
        <f t="shared" si="19"/>
        <v>0</v>
      </c>
      <c r="M46" s="229">
        <f t="shared" si="19"/>
        <v>0</v>
      </c>
      <c r="N46" s="229">
        <f t="shared" si="19"/>
        <v>0</v>
      </c>
      <c r="O46" s="229">
        <f t="shared" si="19"/>
        <v>0</v>
      </c>
      <c r="P46" s="229">
        <f t="shared" si="19"/>
        <v>0</v>
      </c>
      <c r="Q46" s="229">
        <f t="shared" si="19"/>
        <v>0</v>
      </c>
      <c r="R46" s="229">
        <f t="shared" si="19"/>
        <v>0</v>
      </c>
      <c r="S46" s="229">
        <f t="shared" si="19"/>
        <v>0</v>
      </c>
      <c r="T46" s="229">
        <f t="shared" si="19"/>
        <v>0</v>
      </c>
      <c r="U46" s="229">
        <f t="shared" si="19"/>
        <v>0</v>
      </c>
      <c r="V46" s="229">
        <f t="shared" si="19"/>
        <v>0</v>
      </c>
      <c r="W46" s="229">
        <f t="shared" si="19"/>
        <v>0</v>
      </c>
      <c r="X46" s="229">
        <f t="shared" si="19"/>
        <v>0</v>
      </c>
      <c r="Y46" s="229">
        <f t="shared" si="19"/>
        <v>0</v>
      </c>
      <c r="Z46" s="229">
        <f t="shared" si="19"/>
        <v>0</v>
      </c>
      <c r="AA46" s="229">
        <f t="shared" si="19"/>
        <v>0</v>
      </c>
      <c r="AB46" s="229">
        <f t="shared" si="19"/>
        <v>0</v>
      </c>
      <c r="AC46" s="229">
        <f t="shared" si="19"/>
        <v>0</v>
      </c>
      <c r="AD46" s="229">
        <f t="shared" si="19"/>
        <v>0</v>
      </c>
      <c r="AE46" s="229">
        <f t="shared" si="19"/>
        <v>0</v>
      </c>
      <c r="AF46" s="229">
        <f t="shared" si="19"/>
        <v>0</v>
      </c>
      <c r="AG46" s="229">
        <f t="shared" si="19"/>
        <v>0</v>
      </c>
      <c r="AH46" s="229">
        <f t="shared" si="19"/>
        <v>0</v>
      </c>
      <c r="AI46" s="229">
        <f t="shared" si="19"/>
        <v>0</v>
      </c>
      <c r="AJ46" s="229">
        <f t="shared" si="19"/>
        <v>0</v>
      </c>
      <c r="AK46" s="229">
        <f t="shared" si="19"/>
        <v>0</v>
      </c>
      <c r="AL46" s="229">
        <f t="shared" si="19"/>
        <v>0</v>
      </c>
      <c r="AM46" s="229">
        <f t="shared" si="19"/>
        <v>0</v>
      </c>
      <c r="AN46" s="229">
        <f t="shared" si="19"/>
        <v>0</v>
      </c>
      <c r="AO46" s="229">
        <f t="shared" si="19"/>
        <v>0</v>
      </c>
      <c r="AP46" s="229">
        <f t="shared" si="19"/>
        <v>0</v>
      </c>
      <c r="AQ46" s="229">
        <f t="shared" si="19"/>
        <v>0</v>
      </c>
      <c r="AR46" s="229">
        <f t="shared" si="19"/>
        <v>0</v>
      </c>
      <c r="AS46" s="229">
        <f t="shared" si="19"/>
        <v>0</v>
      </c>
      <c r="AT46" s="229">
        <f t="shared" si="19"/>
        <v>0</v>
      </c>
      <c r="AU46" s="229">
        <f t="shared" si="19"/>
        <v>0</v>
      </c>
      <c r="AV46" s="229">
        <f t="shared" si="19"/>
        <v>0</v>
      </c>
      <c r="AW46" s="229">
        <f t="shared" si="19"/>
        <v>0</v>
      </c>
      <c r="AX46" s="229">
        <f t="shared" si="19"/>
        <v>0</v>
      </c>
      <c r="AY46" s="229">
        <f t="shared" si="19"/>
        <v>0</v>
      </c>
      <c r="AZ46" s="229">
        <f t="shared" si="19"/>
        <v>0</v>
      </c>
      <c r="BA46" s="229">
        <f t="shared" si="19"/>
        <v>0</v>
      </c>
      <c r="BB46" s="229">
        <f t="shared" si="19"/>
        <v>0</v>
      </c>
      <c r="BC46" s="229">
        <f t="shared" si="19"/>
        <v>0</v>
      </c>
      <c r="BD46" s="229">
        <f t="shared" si="19"/>
        <v>0</v>
      </c>
      <c r="BE46" s="229">
        <f t="shared" si="19"/>
        <v>0</v>
      </c>
      <c r="BF46" s="258">
        <f t="shared" si="19"/>
        <v>0</v>
      </c>
      <c r="BG46" s="258">
        <f t="shared" si="19"/>
        <v>0</v>
      </c>
      <c r="BH46" s="258">
        <f t="shared" si="19"/>
        <v>0</v>
      </c>
      <c r="BI46" s="258">
        <f t="shared" si="19"/>
        <v>0</v>
      </c>
      <c r="BJ46" s="258">
        <f t="shared" si="19"/>
        <v>0</v>
      </c>
      <c r="BK46" s="258">
        <f t="shared" si="19"/>
        <v>0</v>
      </c>
      <c r="BL46" s="258">
        <f t="shared" si="19"/>
        <v>0</v>
      </c>
      <c r="BM46" s="258">
        <f t="shared" si="19"/>
        <v>0</v>
      </c>
      <c r="BN46" s="258">
        <f t="shared" si="19"/>
        <v>0</v>
      </c>
      <c r="BO46" s="258">
        <f t="shared" si="19"/>
        <v>0</v>
      </c>
      <c r="BP46" s="258">
        <f t="shared" si="19"/>
        <v>0</v>
      </c>
      <c r="BQ46" s="258">
        <f t="shared" si="19"/>
        <v>0</v>
      </c>
      <c r="BR46" s="258">
        <f t="shared" si="19"/>
        <v>0</v>
      </c>
      <c r="BS46" s="258">
        <f t="shared" si="19"/>
        <v>0</v>
      </c>
      <c r="BT46" s="258">
        <f t="shared" si="19"/>
        <v>0</v>
      </c>
      <c r="BU46" s="229">
        <f t="shared" si="19"/>
        <v>0</v>
      </c>
      <c r="BV46" s="229">
        <f t="shared" si="19"/>
        <v>0</v>
      </c>
      <c r="BW46" s="229">
        <f t="shared" si="19"/>
        <v>0</v>
      </c>
      <c r="BX46" s="229">
        <f t="shared" si="19"/>
        <v>0</v>
      </c>
      <c r="BY46" s="229">
        <f t="shared" si="19"/>
        <v>0</v>
      </c>
      <c r="BZ46" s="229">
        <f t="shared" si="19"/>
        <v>0</v>
      </c>
      <c r="CA46" s="229">
        <f t="shared" si="19"/>
        <v>0</v>
      </c>
      <c r="CB46" s="229">
        <f t="shared" si="19"/>
        <v>0</v>
      </c>
      <c r="CC46" s="229">
        <f t="shared" si="19"/>
        <v>0</v>
      </c>
      <c r="CD46" s="229">
        <f t="shared" si="19"/>
        <v>0</v>
      </c>
      <c r="CE46" s="229">
        <f t="shared" si="19"/>
        <v>630000</v>
      </c>
      <c r="CF46" s="229">
        <f t="shared" si="19"/>
        <v>630000</v>
      </c>
      <c r="CG46" s="229">
        <f t="shared" si="19"/>
        <v>0</v>
      </c>
      <c r="CH46" s="229">
        <f t="shared" si="19"/>
        <v>0</v>
      </c>
      <c r="CI46" s="229">
        <f t="shared" si="19"/>
        <v>0</v>
      </c>
      <c r="CJ46" s="229">
        <f t="shared" si="19"/>
        <v>0</v>
      </c>
      <c r="CK46" s="229">
        <f t="shared" si="19"/>
        <v>0</v>
      </c>
      <c r="CL46" s="229">
        <f t="shared" si="19"/>
        <v>0</v>
      </c>
      <c r="CM46" s="229">
        <f t="shared" si="19"/>
        <v>2278940</v>
      </c>
      <c r="CN46" s="229">
        <f t="shared" si="19"/>
        <v>2278944</v>
      </c>
      <c r="CO46" s="229">
        <f t="shared" si="19"/>
        <v>2278944</v>
      </c>
      <c r="CP46" s="229">
        <f t="shared" si="19"/>
        <v>0</v>
      </c>
      <c r="CQ46" s="229">
        <f t="shared" si="19"/>
        <v>0</v>
      </c>
      <c r="CR46" s="229">
        <f t="shared" si="19"/>
        <v>0</v>
      </c>
      <c r="CS46" s="229">
        <f t="shared" si="19"/>
        <v>0</v>
      </c>
      <c r="CT46" s="229">
        <f t="shared" si="19"/>
        <v>32017</v>
      </c>
      <c r="CU46" s="229">
        <f t="shared" si="19"/>
        <v>32017</v>
      </c>
      <c r="CV46" s="229">
        <f>+CV30+CV32+CV33+CV35+CV40+CV42+CV45</f>
        <v>0</v>
      </c>
      <c r="CW46" s="229">
        <f>+CW30+CW32+CW33+CW35+CW40+CW42+CW45</f>
        <v>0</v>
      </c>
      <c r="CX46" s="229">
        <f>+CX30+CX32+CX33+CX35+CX40+CX42+CX45</f>
        <v>0</v>
      </c>
      <c r="CY46" s="229">
        <f t="shared" si="19"/>
        <v>0</v>
      </c>
      <c r="CZ46" s="229">
        <f t="shared" ref="CZ46:DJ46" si="20">+CZ30+CZ32+CZ33+CZ35+CZ40+CZ42+CZ45</f>
        <v>123639207</v>
      </c>
      <c r="DA46" s="229">
        <f t="shared" si="20"/>
        <v>28323639207</v>
      </c>
      <c r="DB46" s="229">
        <f t="shared" si="20"/>
        <v>3822360000</v>
      </c>
      <c r="DC46" s="229">
        <f t="shared" si="20"/>
        <v>4719186287</v>
      </c>
      <c r="DD46" s="229">
        <f t="shared" si="20"/>
        <v>4663848531</v>
      </c>
      <c r="DE46" s="229">
        <f t="shared" si="20"/>
        <v>1732867023</v>
      </c>
      <c r="DF46" s="229">
        <f>+DF30+DF32+DF33+DF35+DF40+DF42+DF45+DF38</f>
        <v>2741582207</v>
      </c>
      <c r="DG46" s="229">
        <f>+DG30+DG32+DG33+DG35+DG40+DG42+DG45+DG39</f>
        <v>2741582207</v>
      </c>
      <c r="DH46" s="229">
        <f t="shared" si="20"/>
        <v>136416896</v>
      </c>
      <c r="DI46" s="229">
        <f t="shared" si="20"/>
        <v>0</v>
      </c>
      <c r="DJ46" s="229">
        <f t="shared" si="20"/>
        <v>0</v>
      </c>
      <c r="DK46" s="240">
        <f>SUMIFS('1.a sz. Önkormányzat 2022. '!D46:MH46,'1.a sz. Önkormányzat 2022. '!$D$4:$MH$4,"kötelező",'1.a sz. Önkormányzat 2022. '!$D$2:$MH$2,"Eredeti előirányzat")+SUMIFS(D46:DI46,$D$4:$DI$4,"kötelező",$D$2:$DI$2,"Eredeti előirányzat")</f>
        <v>8163601516</v>
      </c>
      <c r="DL46" s="261">
        <f>+'1.a sz. Önkormányzat 2022. '!MY46+'1.b sz. Önkormányzat 2022.'!DZ46</f>
        <v>10116681653</v>
      </c>
      <c r="DM46" s="240">
        <f>SUMIFS('1.a sz. Önkormányzat 2022. '!E46:MX46,'1.a sz. Önkormányzat 2022. '!$D$4:$MW$4,"kötelező",'1.a sz. Önkormányzat 2022. '!$D$2:$MW$2,"Módosított előirányzat")+SUMIFS(E46:DJ46,$D$4:$DI$4,"kötelező",$D$2:$DI$2,"Módosított előirányzat")</f>
        <v>10051117252</v>
      </c>
      <c r="DN46" s="240">
        <f>SUMIFS('1.a sz. Önkormányzat 2022. '!D46:MM46,'1.a sz. Önkormányzat 2022. '!$D$4:$MM$4,"önként vállalt",'1.a sz. Önkormányzat 2022. '!$D$2:$MM$2,"Eredeti előirányzat")+SUMIFS(D46:DI46,$D$4:$DI$4,"önként vállalt",$D$2:$DI$2,"Eredeti előirányzat")</f>
        <v>195518371</v>
      </c>
      <c r="DO46" s="240">
        <f>+'1.a sz. Önkormányzat 2022. '!NA46+'1.b sz. Önkormányzat 2022.'!EB46</f>
        <v>338826566</v>
      </c>
      <c r="DP46" s="240">
        <f>SUMIFS('1.a sz. Önkormányzat 2022. '!E46:MO46,'1.a sz. Önkormányzat 2022. '!$D$4:$MN$4,"önként vállalt",'1.a sz. Önkormányzat 2022. '!$D$2:$MN$2,"Módosított előirányzat")+SUMIFS(E46:DJ46,$D$4:$DI$4,"önként vállalt",$D$2:$DI$2,"Módosított előirányzat")</f>
        <v>28536570086</v>
      </c>
      <c r="DQ46" s="240">
        <f>SUMIFS('1.a sz. Önkormányzat 2022. '!D46:MH46,'1.a sz. Önkormányzat 2022. '!$D$4:$MH$4,"államigazgatási",'1.a sz. Önkormányzat 2022. '!$D$2:$MH$2,"Eredeti előirányzat")+SUMIFS(D46:DI46,$D$4:$DI$4,"államigazgatási",$D$2:$DI$2,"Eredeti előirányzat")</f>
        <v>0</v>
      </c>
      <c r="DR46" s="240">
        <f>SUMIFS('1.a sz. Önkormányzat 2022. '!D46:MH46,'1.a sz. Önkormányzat 2022. '!$D$4:$MH$4,"államigazgatási",'1.a sz. Önkormányzat 2022. '!$D$2:$MH$2,"Módosított előirányzat")+SUMIFS(D46:DI46,$D$4:$DI$4,"államigazgatási",$D$2:$DI$2,"Módosított előirányzat")</f>
        <v>0</v>
      </c>
      <c r="DS46" s="240">
        <f>SUMIFS('1.a sz. Önkormányzat 2022. '!E46:MI46,'1.a sz. Önkormányzat 2022. '!$D$4:$MH$4,"államigazgatási",'1.a sz. Önkormányzat 2022. '!$D$2:$MH$2,"Módosított előirányzat")+SUMIFS(E46:DJ46,$D$4:$DI$4,"államigazgatási",$D$2:$DI$2,"Módosított előirányzat")</f>
        <v>0</v>
      </c>
      <c r="DT46" s="240">
        <f t="shared" si="1"/>
        <v>8359119887</v>
      </c>
      <c r="DU46" s="240">
        <f t="shared" si="9"/>
        <v>10455508219</v>
      </c>
      <c r="DV46" s="261">
        <f t="shared" si="2"/>
        <v>38587687338</v>
      </c>
      <c r="DW46" s="383">
        <f>+'1.a sz. Önkormányzat 2022. '!LF46</f>
        <v>0</v>
      </c>
      <c r="DX46" s="383">
        <f>+'1.a sz. Önkormányzat 2022. '!LG46</f>
        <v>0</v>
      </c>
      <c r="DY46" s="383">
        <f>+'1.a sz. Önkormányzat 2022. '!LH46</f>
        <v>0</v>
      </c>
      <c r="DZ46" s="679">
        <f t="shared" si="3"/>
        <v>7463047438</v>
      </c>
      <c r="EA46" s="679">
        <f t="shared" si="4"/>
        <v>7407709682</v>
      </c>
      <c r="EB46" s="676">
        <f t="shared" si="5"/>
        <v>124301224</v>
      </c>
      <c r="EC46" s="676">
        <f t="shared" si="6"/>
        <v>28324301224</v>
      </c>
    </row>
    <row r="47" spans="1:136" s="215" customFormat="1" ht="21.75" customHeight="1" x14ac:dyDescent="0.25">
      <c r="A47" s="208" t="s">
        <v>283</v>
      </c>
      <c r="B47" s="224" t="s">
        <v>110</v>
      </c>
      <c r="C47" s="210"/>
      <c r="D47" s="229">
        <f>+D31+D34+D36+D41+D43+D44</f>
        <v>0</v>
      </c>
      <c r="E47" s="229">
        <f t="shared" ref="E47:DE47" si="21">+E31+E34+E36+E41+E43+E44</f>
        <v>0</v>
      </c>
      <c r="F47" s="229">
        <f t="shared" si="21"/>
        <v>0</v>
      </c>
      <c r="G47" s="229">
        <f t="shared" si="21"/>
        <v>0</v>
      </c>
      <c r="H47" s="229">
        <f t="shared" si="21"/>
        <v>0</v>
      </c>
      <c r="I47" s="229">
        <f t="shared" si="21"/>
        <v>0</v>
      </c>
      <c r="J47" s="229">
        <f t="shared" si="21"/>
        <v>0</v>
      </c>
      <c r="K47" s="229">
        <f t="shared" si="21"/>
        <v>0</v>
      </c>
      <c r="L47" s="229">
        <f t="shared" si="21"/>
        <v>0</v>
      </c>
      <c r="M47" s="229">
        <f t="shared" si="21"/>
        <v>0</v>
      </c>
      <c r="N47" s="229">
        <f t="shared" si="21"/>
        <v>0</v>
      </c>
      <c r="O47" s="229">
        <f t="shared" si="21"/>
        <v>0</v>
      </c>
      <c r="P47" s="229">
        <f t="shared" si="21"/>
        <v>0</v>
      </c>
      <c r="Q47" s="229">
        <f t="shared" si="21"/>
        <v>0</v>
      </c>
      <c r="R47" s="229">
        <f t="shared" si="21"/>
        <v>0</v>
      </c>
      <c r="S47" s="229">
        <f t="shared" si="21"/>
        <v>0</v>
      </c>
      <c r="T47" s="229">
        <f t="shared" si="21"/>
        <v>0</v>
      </c>
      <c r="U47" s="229">
        <f t="shared" si="21"/>
        <v>0</v>
      </c>
      <c r="V47" s="229">
        <f t="shared" si="21"/>
        <v>0</v>
      </c>
      <c r="W47" s="229">
        <f t="shared" si="21"/>
        <v>0</v>
      </c>
      <c r="X47" s="229">
        <f t="shared" si="21"/>
        <v>0</v>
      </c>
      <c r="Y47" s="229">
        <f t="shared" si="21"/>
        <v>0</v>
      </c>
      <c r="Z47" s="229">
        <f t="shared" si="21"/>
        <v>0</v>
      </c>
      <c r="AA47" s="229">
        <f t="shared" si="21"/>
        <v>0</v>
      </c>
      <c r="AB47" s="229">
        <f t="shared" si="21"/>
        <v>0</v>
      </c>
      <c r="AC47" s="229">
        <f t="shared" si="21"/>
        <v>0</v>
      </c>
      <c r="AD47" s="229">
        <f t="shared" si="21"/>
        <v>0</v>
      </c>
      <c r="AE47" s="229">
        <f t="shared" si="21"/>
        <v>0</v>
      </c>
      <c r="AF47" s="229">
        <f t="shared" si="21"/>
        <v>0</v>
      </c>
      <c r="AG47" s="229">
        <f t="shared" si="21"/>
        <v>0</v>
      </c>
      <c r="AH47" s="229">
        <f t="shared" si="21"/>
        <v>0</v>
      </c>
      <c r="AI47" s="229">
        <f t="shared" si="21"/>
        <v>0</v>
      </c>
      <c r="AJ47" s="229">
        <f t="shared" si="21"/>
        <v>0</v>
      </c>
      <c r="AK47" s="229">
        <f t="shared" si="21"/>
        <v>0</v>
      </c>
      <c r="AL47" s="229">
        <f t="shared" si="21"/>
        <v>0</v>
      </c>
      <c r="AM47" s="229">
        <f t="shared" si="21"/>
        <v>0</v>
      </c>
      <c r="AN47" s="229">
        <f t="shared" si="21"/>
        <v>0</v>
      </c>
      <c r="AO47" s="229">
        <f t="shared" si="21"/>
        <v>0</v>
      </c>
      <c r="AP47" s="229">
        <f t="shared" si="21"/>
        <v>0</v>
      </c>
      <c r="AQ47" s="229">
        <f t="shared" si="21"/>
        <v>0</v>
      </c>
      <c r="AR47" s="229">
        <f t="shared" si="21"/>
        <v>0</v>
      </c>
      <c r="AS47" s="229">
        <f t="shared" si="21"/>
        <v>0</v>
      </c>
      <c r="AT47" s="229">
        <f t="shared" si="21"/>
        <v>0</v>
      </c>
      <c r="AU47" s="229">
        <f t="shared" si="21"/>
        <v>0</v>
      </c>
      <c r="AV47" s="229">
        <f t="shared" si="21"/>
        <v>0</v>
      </c>
      <c r="AW47" s="229">
        <f t="shared" si="21"/>
        <v>0</v>
      </c>
      <c r="AX47" s="229">
        <f t="shared" si="21"/>
        <v>0</v>
      </c>
      <c r="AY47" s="229">
        <f t="shared" si="21"/>
        <v>0</v>
      </c>
      <c r="AZ47" s="229">
        <f t="shared" si="21"/>
        <v>0</v>
      </c>
      <c r="BA47" s="229">
        <f t="shared" si="21"/>
        <v>0</v>
      </c>
      <c r="BB47" s="229">
        <f t="shared" si="21"/>
        <v>0</v>
      </c>
      <c r="BC47" s="229">
        <f t="shared" si="21"/>
        <v>0</v>
      </c>
      <c r="BD47" s="229">
        <f t="shared" si="21"/>
        <v>0</v>
      </c>
      <c r="BE47" s="229">
        <f t="shared" si="21"/>
        <v>0</v>
      </c>
      <c r="BF47" s="258">
        <f t="shared" si="21"/>
        <v>0</v>
      </c>
      <c r="BG47" s="258">
        <f t="shared" si="21"/>
        <v>0</v>
      </c>
      <c r="BH47" s="258">
        <f t="shared" si="21"/>
        <v>0</v>
      </c>
      <c r="BI47" s="258">
        <f t="shared" si="21"/>
        <v>0</v>
      </c>
      <c r="BJ47" s="258">
        <f t="shared" si="21"/>
        <v>0</v>
      </c>
      <c r="BK47" s="258">
        <f t="shared" si="21"/>
        <v>0</v>
      </c>
      <c r="BL47" s="258">
        <f t="shared" si="21"/>
        <v>0</v>
      </c>
      <c r="BM47" s="258">
        <f t="shared" si="21"/>
        <v>0</v>
      </c>
      <c r="BN47" s="258">
        <f t="shared" si="21"/>
        <v>0</v>
      </c>
      <c r="BO47" s="258">
        <f t="shared" si="21"/>
        <v>0</v>
      </c>
      <c r="BP47" s="258">
        <f t="shared" si="21"/>
        <v>0</v>
      </c>
      <c r="BQ47" s="258">
        <f t="shared" si="21"/>
        <v>0</v>
      </c>
      <c r="BR47" s="258">
        <f t="shared" si="21"/>
        <v>0</v>
      </c>
      <c r="BS47" s="258">
        <f t="shared" si="21"/>
        <v>0</v>
      </c>
      <c r="BT47" s="258">
        <f t="shared" si="21"/>
        <v>0</v>
      </c>
      <c r="BU47" s="229">
        <f t="shared" si="21"/>
        <v>0</v>
      </c>
      <c r="BV47" s="229">
        <f t="shared" si="21"/>
        <v>0</v>
      </c>
      <c r="BW47" s="229">
        <f t="shared" si="21"/>
        <v>0</v>
      </c>
      <c r="BX47" s="229">
        <f t="shared" si="21"/>
        <v>0</v>
      </c>
      <c r="BY47" s="229">
        <f t="shared" si="21"/>
        <v>0</v>
      </c>
      <c r="BZ47" s="229">
        <f t="shared" si="21"/>
        <v>0</v>
      </c>
      <c r="CA47" s="229">
        <f t="shared" si="21"/>
        <v>0</v>
      </c>
      <c r="CB47" s="229">
        <f t="shared" si="21"/>
        <v>0</v>
      </c>
      <c r="CC47" s="229">
        <f t="shared" si="21"/>
        <v>0</v>
      </c>
      <c r="CD47" s="229">
        <f t="shared" si="21"/>
        <v>0</v>
      </c>
      <c r="CE47" s="229">
        <f t="shared" si="21"/>
        <v>0</v>
      </c>
      <c r="CF47" s="229">
        <f t="shared" si="21"/>
        <v>0</v>
      </c>
      <c r="CG47" s="229">
        <f t="shared" si="21"/>
        <v>0</v>
      </c>
      <c r="CH47" s="229">
        <f t="shared" si="21"/>
        <v>0</v>
      </c>
      <c r="CI47" s="229">
        <f t="shared" si="21"/>
        <v>0</v>
      </c>
      <c r="CJ47" s="229">
        <f t="shared" si="21"/>
        <v>0</v>
      </c>
      <c r="CK47" s="229">
        <f t="shared" si="21"/>
        <v>0</v>
      </c>
      <c r="CL47" s="229">
        <f t="shared" si="21"/>
        <v>0</v>
      </c>
      <c r="CM47" s="229">
        <f t="shared" si="21"/>
        <v>0</v>
      </c>
      <c r="CN47" s="229">
        <f t="shared" si="21"/>
        <v>0</v>
      </c>
      <c r="CO47" s="229">
        <f t="shared" si="21"/>
        <v>0</v>
      </c>
      <c r="CP47" s="229">
        <f t="shared" si="21"/>
        <v>0</v>
      </c>
      <c r="CQ47" s="229">
        <f t="shared" si="21"/>
        <v>0</v>
      </c>
      <c r="CR47" s="229">
        <f t="shared" si="21"/>
        <v>0</v>
      </c>
      <c r="CS47" s="229">
        <f t="shared" si="21"/>
        <v>0</v>
      </c>
      <c r="CT47" s="229">
        <f t="shared" si="21"/>
        <v>0</v>
      </c>
      <c r="CU47" s="229">
        <f t="shared" si="21"/>
        <v>0</v>
      </c>
      <c r="CV47" s="229">
        <f>+CV31+CV34+CV36+CV41+CV43+CV44</f>
        <v>0</v>
      </c>
      <c r="CW47" s="229">
        <f>+CW31+CW34+CW36+CW41+CW43+CW44</f>
        <v>0</v>
      </c>
      <c r="CX47" s="229">
        <f>+CX31+CX34+CX36+CX41+CX43+CX44</f>
        <v>0</v>
      </c>
      <c r="CY47" s="229">
        <f t="shared" si="21"/>
        <v>0</v>
      </c>
      <c r="CZ47" s="229">
        <f t="shared" si="21"/>
        <v>0</v>
      </c>
      <c r="DA47" s="229">
        <f t="shared" si="21"/>
        <v>0</v>
      </c>
      <c r="DB47" s="229">
        <f t="shared" si="21"/>
        <v>0</v>
      </c>
      <c r="DC47" s="229">
        <f t="shared" si="21"/>
        <v>0</v>
      </c>
      <c r="DD47" s="229">
        <f t="shared" si="21"/>
        <v>0</v>
      </c>
      <c r="DE47" s="229">
        <f t="shared" si="21"/>
        <v>0</v>
      </c>
      <c r="DF47" s="229">
        <f>+DF31+DF34+DF36+DF41+DF43+DF44</f>
        <v>0</v>
      </c>
      <c r="DG47" s="229">
        <f>+DG31+DG34+DG36+DG41+DG43+DG44</f>
        <v>0</v>
      </c>
      <c r="DH47" s="229">
        <f>+DH31+DH34+DH36+DH41+DH43+DH44</f>
        <v>0</v>
      </c>
      <c r="DI47" s="229">
        <f>+DI31+DI34+DI36+DI41+DI43+DI44</f>
        <v>0</v>
      </c>
      <c r="DJ47" s="229">
        <f>+DJ31+DJ34+DJ36+DJ41+DJ43+DJ44</f>
        <v>0</v>
      </c>
      <c r="DK47" s="240">
        <f>SUMIFS('1.a sz. Önkormányzat 2022. '!D47:MH47,'1.a sz. Önkormányzat 2022. '!$D$4:$MH$4,"kötelező",'1.a sz. Önkormányzat 2022. '!$D$2:$MH$2,"Eredeti előirányzat")+SUMIFS(D47:DI47,$D$4:$DI$4,"kötelező",$D$2:$DI$2,"Eredeti előirányzat")</f>
        <v>1259006031</v>
      </c>
      <c r="DL47" s="261">
        <f>+'1.a sz. Önkormányzat 2022. '!MY47+'1.b sz. Önkormányzat 2022.'!DZ47</f>
        <v>1423521430</v>
      </c>
      <c r="DM47" s="240">
        <f>SUMIFS('1.a sz. Önkormányzat 2022. '!E47:MX47,'1.a sz. Önkormányzat 2022. '!$D$4:$MW$4,"kötelező",'1.a sz. Önkormányzat 2022. '!$D$2:$MW$2,"Módosított előirányzat")+SUMIFS(E47:DJ47,$D$4:$DI$4,"kötelező",$D$2:$DI$2,"Módosított előirányzat")</f>
        <v>1423521430</v>
      </c>
      <c r="DN47" s="240">
        <f>SUMIFS('1.a sz. Önkormányzat 2022. '!D47:MM47,'1.a sz. Önkormányzat 2022. '!$D$4:$MM$4,"önként vállalt",'1.a sz. Önkormányzat 2022. '!$D$2:$MM$2,"Eredeti előirányzat")+SUMIFS(D47:DI47,$D$4:$DI$4,"önként vállalt",$D$2:$DI$2,"Eredeti előirányzat")</f>
        <v>721578003</v>
      </c>
      <c r="DO47" s="240">
        <f>+'1.a sz. Önkormányzat 2022. '!NA47+'1.b sz. Önkormányzat 2022.'!EB47</f>
        <v>744353347</v>
      </c>
      <c r="DP47" s="240">
        <f>SUMIFS('1.a sz. Önkormányzat 2022. '!E47:MO47,'1.a sz. Önkormányzat 2022. '!$D$4:$MN$4,"önként vállalt",'1.a sz. Önkormányzat 2022. '!$D$2:$MN$2,"Módosított előirányzat")+SUMIFS(E47:DJ47,$D$4:$DI$4,"önként vállalt",$D$2:$DI$2,"Módosított előirányzat")</f>
        <v>744353347</v>
      </c>
      <c r="DQ47" s="240">
        <f>SUMIFS('1.a sz. Önkormányzat 2022. '!D47:MH47,'1.a sz. Önkormányzat 2022. '!$D$4:$MH$4,"államigazgatási",'1.a sz. Önkormányzat 2022. '!$D$2:$MH$2,"Eredeti előirányzat")+SUMIFS(D47:DI47,$D$4:$DI$4,"államigazgatási",$D$2:$DI$2,"Eredeti előirányzat")</f>
        <v>0</v>
      </c>
      <c r="DR47" s="240">
        <f>SUMIFS('1.a sz. Önkormányzat 2022. '!D47:MH47,'1.a sz. Önkormányzat 2022. '!$D$4:$MH$4,"államigazgatási",'1.a sz. Önkormányzat 2022. '!$D$2:$MH$2,"Módosított előirányzat")+SUMIFS(D47:DI47,$D$4:$DI$4,"államigazgatási",$D$2:$DI$2,"Módosított előirányzat")</f>
        <v>0</v>
      </c>
      <c r="DS47" s="240">
        <f>SUMIFS('1.a sz. Önkormányzat 2022. '!E47:MI47,'1.a sz. Önkormányzat 2022. '!$D$4:$MH$4,"államigazgatási",'1.a sz. Önkormányzat 2022. '!$D$2:$MH$2,"Módosított előirányzat")+SUMIFS(E47:DJ47,$D$4:$DI$4,"államigazgatási",$D$2:$DI$2,"Módosított előirányzat")</f>
        <v>0</v>
      </c>
      <c r="DT47" s="240">
        <f t="shared" si="1"/>
        <v>1980584034</v>
      </c>
      <c r="DU47" s="240">
        <f t="shared" si="9"/>
        <v>2167874777</v>
      </c>
      <c r="DV47" s="261">
        <f t="shared" si="2"/>
        <v>2167874777</v>
      </c>
      <c r="DW47" s="383">
        <f>+'1.a sz. Önkormányzat 2022. '!LF47</f>
        <v>0</v>
      </c>
      <c r="DX47" s="383">
        <f>+'1.a sz. Önkormányzat 2022. '!LG47</f>
        <v>49565206</v>
      </c>
      <c r="DY47" s="383">
        <f>+'1.a sz. Önkormányzat 2022. '!LH47</f>
        <v>49565206</v>
      </c>
      <c r="DZ47" s="679">
        <f t="shared" si="3"/>
        <v>0</v>
      </c>
      <c r="EA47" s="679">
        <f t="shared" si="4"/>
        <v>0</v>
      </c>
      <c r="EB47" s="676">
        <f t="shared" si="5"/>
        <v>0</v>
      </c>
      <c r="EC47" s="676">
        <f t="shared" si="6"/>
        <v>0</v>
      </c>
    </row>
    <row r="48" spans="1:136" s="215" customFormat="1" ht="21.75" customHeight="1" x14ac:dyDescent="0.25">
      <c r="A48" s="208" t="s">
        <v>284</v>
      </c>
      <c r="B48" s="224" t="s">
        <v>329</v>
      </c>
      <c r="C48" s="210"/>
      <c r="D48" s="242">
        <f>+D46+D47</f>
        <v>0</v>
      </c>
      <c r="E48" s="242">
        <f t="shared" ref="E48:DE48" si="22">+E46+E47</f>
        <v>0</v>
      </c>
      <c r="F48" s="242">
        <f t="shared" si="22"/>
        <v>0</v>
      </c>
      <c r="G48" s="242">
        <f t="shared" si="22"/>
        <v>0</v>
      </c>
      <c r="H48" s="242">
        <f t="shared" si="22"/>
        <v>0</v>
      </c>
      <c r="I48" s="242">
        <f t="shared" si="22"/>
        <v>0</v>
      </c>
      <c r="J48" s="242">
        <f t="shared" si="22"/>
        <v>0</v>
      </c>
      <c r="K48" s="242">
        <f t="shared" si="22"/>
        <v>0</v>
      </c>
      <c r="L48" s="242">
        <f t="shared" si="22"/>
        <v>0</v>
      </c>
      <c r="M48" s="242">
        <f t="shared" si="22"/>
        <v>0</v>
      </c>
      <c r="N48" s="242">
        <f t="shared" si="22"/>
        <v>0</v>
      </c>
      <c r="O48" s="242">
        <f t="shared" si="22"/>
        <v>0</v>
      </c>
      <c r="P48" s="242">
        <f t="shared" si="22"/>
        <v>0</v>
      </c>
      <c r="Q48" s="242">
        <f t="shared" si="22"/>
        <v>0</v>
      </c>
      <c r="R48" s="242">
        <f t="shared" si="22"/>
        <v>0</v>
      </c>
      <c r="S48" s="242">
        <f t="shared" si="22"/>
        <v>0</v>
      </c>
      <c r="T48" s="242">
        <f t="shared" si="22"/>
        <v>0</v>
      </c>
      <c r="U48" s="242">
        <f t="shared" si="22"/>
        <v>0</v>
      </c>
      <c r="V48" s="242">
        <f t="shared" si="22"/>
        <v>0</v>
      </c>
      <c r="W48" s="242">
        <f t="shared" si="22"/>
        <v>0</v>
      </c>
      <c r="X48" s="242">
        <f t="shared" si="22"/>
        <v>0</v>
      </c>
      <c r="Y48" s="242">
        <f t="shared" si="22"/>
        <v>0</v>
      </c>
      <c r="Z48" s="242">
        <f t="shared" si="22"/>
        <v>0</v>
      </c>
      <c r="AA48" s="242">
        <f t="shared" si="22"/>
        <v>0</v>
      </c>
      <c r="AB48" s="242">
        <f t="shared" si="22"/>
        <v>0</v>
      </c>
      <c r="AC48" s="242">
        <f t="shared" si="22"/>
        <v>0</v>
      </c>
      <c r="AD48" s="242">
        <f t="shared" si="22"/>
        <v>0</v>
      </c>
      <c r="AE48" s="242">
        <f t="shared" si="22"/>
        <v>0</v>
      </c>
      <c r="AF48" s="242">
        <f t="shared" si="22"/>
        <v>0</v>
      </c>
      <c r="AG48" s="242">
        <f t="shared" si="22"/>
        <v>0</v>
      </c>
      <c r="AH48" s="242">
        <f t="shared" si="22"/>
        <v>0</v>
      </c>
      <c r="AI48" s="242">
        <f t="shared" si="22"/>
        <v>0</v>
      </c>
      <c r="AJ48" s="242">
        <f t="shared" si="22"/>
        <v>0</v>
      </c>
      <c r="AK48" s="242">
        <f t="shared" si="22"/>
        <v>0</v>
      </c>
      <c r="AL48" s="242">
        <f t="shared" si="22"/>
        <v>0</v>
      </c>
      <c r="AM48" s="242">
        <f t="shared" si="22"/>
        <v>0</v>
      </c>
      <c r="AN48" s="242">
        <f t="shared" si="22"/>
        <v>0</v>
      </c>
      <c r="AO48" s="242">
        <f t="shared" si="22"/>
        <v>0</v>
      </c>
      <c r="AP48" s="242">
        <f t="shared" si="22"/>
        <v>0</v>
      </c>
      <c r="AQ48" s="242">
        <f t="shared" si="22"/>
        <v>0</v>
      </c>
      <c r="AR48" s="242">
        <f t="shared" si="22"/>
        <v>0</v>
      </c>
      <c r="AS48" s="242">
        <f t="shared" si="22"/>
        <v>0</v>
      </c>
      <c r="AT48" s="242">
        <f t="shared" si="22"/>
        <v>0</v>
      </c>
      <c r="AU48" s="242">
        <f t="shared" si="22"/>
        <v>0</v>
      </c>
      <c r="AV48" s="242">
        <f t="shared" si="22"/>
        <v>0</v>
      </c>
      <c r="AW48" s="242">
        <f t="shared" si="22"/>
        <v>0</v>
      </c>
      <c r="AX48" s="242">
        <f t="shared" si="22"/>
        <v>0</v>
      </c>
      <c r="AY48" s="242">
        <f t="shared" si="22"/>
        <v>0</v>
      </c>
      <c r="AZ48" s="242">
        <f t="shared" si="22"/>
        <v>0</v>
      </c>
      <c r="BA48" s="242">
        <f t="shared" si="22"/>
        <v>0</v>
      </c>
      <c r="BB48" s="242">
        <f t="shared" si="22"/>
        <v>0</v>
      </c>
      <c r="BC48" s="242">
        <f t="shared" si="22"/>
        <v>0</v>
      </c>
      <c r="BD48" s="242">
        <f t="shared" si="22"/>
        <v>0</v>
      </c>
      <c r="BE48" s="242">
        <f t="shared" si="22"/>
        <v>0</v>
      </c>
      <c r="BF48" s="749">
        <f t="shared" si="22"/>
        <v>0</v>
      </c>
      <c r="BG48" s="749">
        <f t="shared" si="22"/>
        <v>0</v>
      </c>
      <c r="BH48" s="749">
        <f t="shared" si="22"/>
        <v>0</v>
      </c>
      <c r="BI48" s="749">
        <f t="shared" si="22"/>
        <v>0</v>
      </c>
      <c r="BJ48" s="749">
        <f t="shared" si="22"/>
        <v>0</v>
      </c>
      <c r="BK48" s="749">
        <f t="shared" si="22"/>
        <v>0</v>
      </c>
      <c r="BL48" s="749">
        <f t="shared" si="22"/>
        <v>0</v>
      </c>
      <c r="BM48" s="749">
        <f t="shared" si="22"/>
        <v>0</v>
      </c>
      <c r="BN48" s="749">
        <f t="shared" si="22"/>
        <v>0</v>
      </c>
      <c r="BO48" s="749">
        <f t="shared" si="22"/>
        <v>0</v>
      </c>
      <c r="BP48" s="749">
        <f t="shared" si="22"/>
        <v>0</v>
      </c>
      <c r="BQ48" s="749">
        <f t="shared" si="22"/>
        <v>0</v>
      </c>
      <c r="BR48" s="749">
        <f t="shared" si="22"/>
        <v>0</v>
      </c>
      <c r="BS48" s="749">
        <f t="shared" si="22"/>
        <v>0</v>
      </c>
      <c r="BT48" s="749">
        <f t="shared" si="22"/>
        <v>0</v>
      </c>
      <c r="BU48" s="242">
        <f t="shared" si="22"/>
        <v>0</v>
      </c>
      <c r="BV48" s="242">
        <f t="shared" si="22"/>
        <v>0</v>
      </c>
      <c r="BW48" s="242">
        <f t="shared" si="22"/>
        <v>0</v>
      </c>
      <c r="BX48" s="242">
        <f t="shared" si="22"/>
        <v>0</v>
      </c>
      <c r="BY48" s="242">
        <f t="shared" si="22"/>
        <v>0</v>
      </c>
      <c r="BZ48" s="242">
        <f t="shared" si="22"/>
        <v>0</v>
      </c>
      <c r="CA48" s="242">
        <f t="shared" si="22"/>
        <v>0</v>
      </c>
      <c r="CB48" s="242">
        <f t="shared" si="22"/>
        <v>0</v>
      </c>
      <c r="CC48" s="242">
        <f t="shared" si="22"/>
        <v>0</v>
      </c>
      <c r="CD48" s="242">
        <f t="shared" si="22"/>
        <v>0</v>
      </c>
      <c r="CE48" s="242">
        <f t="shared" si="22"/>
        <v>630000</v>
      </c>
      <c r="CF48" s="242">
        <f t="shared" si="22"/>
        <v>630000</v>
      </c>
      <c r="CG48" s="242">
        <f t="shared" si="22"/>
        <v>0</v>
      </c>
      <c r="CH48" s="242">
        <f t="shared" si="22"/>
        <v>0</v>
      </c>
      <c r="CI48" s="242">
        <f t="shared" si="22"/>
        <v>0</v>
      </c>
      <c r="CJ48" s="242">
        <f t="shared" si="22"/>
        <v>0</v>
      </c>
      <c r="CK48" s="242">
        <f t="shared" si="22"/>
        <v>0</v>
      </c>
      <c r="CL48" s="242">
        <f t="shared" si="22"/>
        <v>0</v>
      </c>
      <c r="CM48" s="242">
        <f t="shared" si="22"/>
        <v>2278940</v>
      </c>
      <c r="CN48" s="242">
        <f t="shared" si="22"/>
        <v>2278944</v>
      </c>
      <c r="CO48" s="242">
        <f t="shared" si="22"/>
        <v>2278944</v>
      </c>
      <c r="CP48" s="242">
        <f t="shared" si="22"/>
        <v>0</v>
      </c>
      <c r="CQ48" s="242">
        <f t="shared" si="22"/>
        <v>0</v>
      </c>
      <c r="CR48" s="242">
        <f t="shared" si="22"/>
        <v>0</v>
      </c>
      <c r="CS48" s="242">
        <f t="shared" si="22"/>
        <v>0</v>
      </c>
      <c r="CT48" s="242">
        <f t="shared" si="22"/>
        <v>32017</v>
      </c>
      <c r="CU48" s="242">
        <f t="shared" si="22"/>
        <v>32017</v>
      </c>
      <c r="CV48" s="242">
        <f>+CV46+CV47</f>
        <v>0</v>
      </c>
      <c r="CW48" s="242">
        <f>+CW46+CW47</f>
        <v>0</v>
      </c>
      <c r="CX48" s="242">
        <f>+CX46+CX47</f>
        <v>0</v>
      </c>
      <c r="CY48" s="242">
        <f t="shared" si="22"/>
        <v>0</v>
      </c>
      <c r="CZ48" s="242">
        <f t="shared" si="22"/>
        <v>123639207</v>
      </c>
      <c r="DA48" s="242">
        <f t="shared" si="22"/>
        <v>28323639207</v>
      </c>
      <c r="DB48" s="242">
        <f t="shared" si="22"/>
        <v>3822360000</v>
      </c>
      <c r="DC48" s="242">
        <f t="shared" si="22"/>
        <v>4719186287</v>
      </c>
      <c r="DD48" s="242">
        <f t="shared" si="22"/>
        <v>4663848531</v>
      </c>
      <c r="DE48" s="242">
        <f t="shared" si="22"/>
        <v>1732867023</v>
      </c>
      <c r="DF48" s="242">
        <f>+DF46+DF47</f>
        <v>2741582207</v>
      </c>
      <c r="DG48" s="242">
        <f>+DG46+DG47</f>
        <v>2741582207</v>
      </c>
      <c r="DH48" s="242">
        <f>+DH46+DH47</f>
        <v>136416896</v>
      </c>
      <c r="DI48" s="242">
        <f>+DI46+DI47</f>
        <v>0</v>
      </c>
      <c r="DJ48" s="242">
        <f>+DJ46+DJ47</f>
        <v>0</v>
      </c>
      <c r="DK48" s="240">
        <f>SUMIFS('1.a sz. Önkormányzat 2022. '!D48:MH48,'1.a sz. Önkormányzat 2022. '!$D$4:$MH$4,"kötelező",'1.a sz. Önkormányzat 2022. '!$D$2:$MH$2,"Eredeti előirányzat")+SUMIFS(D48:DI48,$D$4:$DI$4,"kötelező",$D$2:$DI$2,"Eredeti előirányzat")</f>
        <v>9422607547</v>
      </c>
      <c r="DL48" s="261">
        <f>+'1.a sz. Önkormányzat 2022. '!MY48+'1.b sz. Önkormányzat 2022.'!DZ48</f>
        <v>11540203083</v>
      </c>
      <c r="DM48" s="240">
        <f>SUMIFS('1.a sz. Önkormányzat 2022. '!E48:MX48,'1.a sz. Önkormányzat 2022. '!$D$4:$MW$4,"kötelező",'1.a sz. Önkormányzat 2022. '!$D$2:$MW$2,"Módosított előirányzat")+SUMIFS(E48:DJ48,$D$4:$DI$4,"kötelező",$D$2:$DI$2,"Módosított előirányzat")</f>
        <v>11474638682</v>
      </c>
      <c r="DN48" s="240">
        <f>SUMIFS('1.a sz. Önkormányzat 2022. '!D48:MM48,'1.a sz. Önkormányzat 2022. '!$D$4:$MM$4,"önként vállalt",'1.a sz. Önkormányzat 2022. '!$D$2:$MM$2,"Eredeti előirányzat")+SUMIFS(D48:DI48,$D$4:$DI$4,"önként vállalt",$D$2:$DI$2,"Eredeti előirányzat")</f>
        <v>917096374</v>
      </c>
      <c r="DO48" s="240">
        <f>+'1.a sz. Önkormányzat 2022. '!NA48+'1.b sz. Önkormányzat 2022.'!EB48</f>
        <v>1083179913</v>
      </c>
      <c r="DP48" s="240">
        <f>SUMIFS('1.a sz. Önkormányzat 2022. '!E48:MO48,'1.a sz. Önkormányzat 2022. '!$D$4:$MN$4,"önként vállalt",'1.a sz. Önkormányzat 2022. '!$D$2:$MN$2,"Módosított előirányzat")+SUMIFS(E48:DJ48,$D$4:$DI$4,"önként vállalt",$D$2:$DI$2,"Módosított előirányzat")</f>
        <v>29280923433</v>
      </c>
      <c r="DQ48" s="240">
        <f>SUMIFS('1.a sz. Önkormányzat 2022. '!D48:MH48,'1.a sz. Önkormányzat 2022. '!$D$4:$MH$4,"államigazgatási",'1.a sz. Önkormányzat 2022. '!$D$2:$MH$2,"Eredeti előirányzat")+SUMIFS(D48:DI48,$D$4:$DI$4,"államigazgatási",$D$2:$DI$2,"Eredeti előirányzat")</f>
        <v>0</v>
      </c>
      <c r="DR48" s="240">
        <f>SUMIFS('1.a sz. Önkormányzat 2022. '!D48:MH48,'1.a sz. Önkormányzat 2022. '!$D$4:$MH$4,"államigazgatási",'1.a sz. Önkormányzat 2022. '!$D$2:$MH$2,"Módosított előirányzat")+SUMIFS(D48:DI48,$D$4:$DI$4,"államigazgatási",$D$2:$DI$2,"Módosított előirányzat")</f>
        <v>0</v>
      </c>
      <c r="DS48" s="240">
        <f>SUMIFS('1.a sz. Önkormányzat 2022. '!E48:MI48,'1.a sz. Önkormányzat 2022. '!$D$4:$MH$4,"államigazgatási",'1.a sz. Önkormányzat 2022. '!$D$2:$MH$2,"Módosított előirányzat")+SUMIFS(E48:DJ48,$D$4:$DI$4,"államigazgatási",$D$2:$DI$2,"Módosított előirányzat")</f>
        <v>0</v>
      </c>
      <c r="DT48" s="240">
        <f t="shared" si="1"/>
        <v>10339703921</v>
      </c>
      <c r="DU48" s="240">
        <f t="shared" si="9"/>
        <v>12623382996</v>
      </c>
      <c r="DV48" s="261">
        <f t="shared" si="2"/>
        <v>40755562115</v>
      </c>
      <c r="DW48" s="383">
        <f>+'1.a sz. Önkormányzat 2022. '!LF48</f>
        <v>0</v>
      </c>
      <c r="DX48" s="383">
        <f>+'1.a sz. Önkormányzat 2022. '!LG48</f>
        <v>49565206</v>
      </c>
      <c r="DY48" s="383">
        <f>+'1.a sz. Önkormányzat 2022. '!LH48</f>
        <v>49565206</v>
      </c>
      <c r="DZ48" s="679">
        <f t="shared" si="3"/>
        <v>7463047438</v>
      </c>
      <c r="EA48" s="679">
        <f t="shared" si="4"/>
        <v>7407709682</v>
      </c>
      <c r="EB48" s="676">
        <f t="shared" si="5"/>
        <v>124301224</v>
      </c>
      <c r="EC48" s="676">
        <f t="shared" si="6"/>
        <v>28324301224</v>
      </c>
    </row>
    <row r="49" spans="1:133" s="757" customFormat="1" ht="21.75" customHeight="1" x14ac:dyDescent="0.25">
      <c r="A49" s="753" t="s">
        <v>285</v>
      </c>
      <c r="B49" s="296" t="s">
        <v>2075</v>
      </c>
      <c r="C49" s="755"/>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754"/>
      <c r="AL49" s="754"/>
      <c r="AM49" s="754"/>
      <c r="AN49" s="754"/>
      <c r="AO49" s="754"/>
      <c r="AP49" s="754"/>
      <c r="AQ49" s="754"/>
      <c r="AR49" s="754"/>
      <c r="AS49" s="754"/>
      <c r="AT49" s="754"/>
      <c r="AU49" s="754"/>
      <c r="AV49" s="754"/>
      <c r="AW49" s="754"/>
      <c r="AX49" s="754"/>
      <c r="AY49" s="754"/>
      <c r="AZ49" s="754"/>
      <c r="BA49" s="754"/>
      <c r="BB49" s="754"/>
      <c r="BC49" s="754"/>
      <c r="BD49" s="754"/>
      <c r="BE49" s="754"/>
      <c r="BF49" s="758"/>
      <c r="BG49" s="758"/>
      <c r="BH49" s="758"/>
      <c r="BI49" s="758"/>
      <c r="BJ49" s="758"/>
      <c r="BK49" s="758"/>
      <c r="BL49" s="758"/>
      <c r="BM49" s="758"/>
      <c r="BN49" s="758"/>
      <c r="BO49" s="758"/>
      <c r="BP49" s="758"/>
      <c r="BQ49" s="758"/>
      <c r="BR49" s="758"/>
      <c r="BS49" s="758"/>
      <c r="BT49" s="758"/>
      <c r="BU49" s="754"/>
      <c r="BV49" s="754"/>
      <c r="BW49" s="754"/>
      <c r="BX49" s="754"/>
      <c r="BY49" s="754"/>
      <c r="BZ49" s="754"/>
      <c r="CA49" s="754"/>
      <c r="CB49" s="754"/>
      <c r="CC49" s="754"/>
      <c r="CD49" s="754"/>
      <c r="CE49" s="754"/>
      <c r="CF49" s="754"/>
      <c r="CG49" s="754"/>
      <c r="CH49" s="754"/>
      <c r="CI49" s="754"/>
      <c r="CJ49" s="754"/>
      <c r="CK49" s="754"/>
      <c r="CL49" s="754"/>
      <c r="CM49" s="754"/>
      <c r="CN49" s="754"/>
      <c r="CO49" s="754"/>
      <c r="CP49" s="754"/>
      <c r="CQ49" s="754"/>
      <c r="CR49" s="754"/>
      <c r="CS49" s="754"/>
      <c r="CT49" s="754"/>
      <c r="CU49" s="754"/>
      <c r="CV49" s="754"/>
      <c r="CW49" s="754"/>
      <c r="CX49" s="754"/>
      <c r="CY49" s="754"/>
      <c r="CZ49" s="754"/>
      <c r="DA49" s="754"/>
      <c r="DB49" s="754"/>
      <c r="DC49" s="754"/>
      <c r="DD49" s="754"/>
      <c r="DE49" s="754"/>
      <c r="DF49" s="754"/>
      <c r="DG49" s="754"/>
      <c r="DH49" s="754"/>
      <c r="DI49" s="754"/>
      <c r="DJ49" s="754"/>
      <c r="DK49" s="759">
        <f>SUMIFS('1.a sz. Önkormányzat 2022. '!D49:MH49,'1.a sz. Önkormányzat 2022. '!$D$4:$MH$4,"kötelező",'1.a sz. Önkormányzat 2022. '!$D$2:$MH$2,"Eredeti előirányzat")+SUMIFS(D49:DI49,$D$4:$DI$4,"kötelező",$D$2:$DI$2,"Eredeti előirányzat")</f>
        <v>17</v>
      </c>
      <c r="DL49" s="211">
        <f>+'1.a sz. Önkormányzat 2022. '!MY49+'1.b sz. Önkormányzat 2022.'!DZ49</f>
        <v>17</v>
      </c>
      <c r="DM49" s="759">
        <f>SUMIFS('1.a sz. Önkormányzat 2022. '!E49:MX49,'1.a sz. Önkormányzat 2022. '!$D$4:$MW$4,"kötelező",'1.a sz. Önkormányzat 2022. '!$D$2:$MW$2,"Módosított előirányzat")+SUMIFS(E49:DJ49,$D$4:$DI$4,"kötelező",$D$2:$DI$2,"Módosított előirányzat")</f>
        <v>12.2</v>
      </c>
      <c r="DN49" s="759">
        <f>SUMIFS('1.a sz. Önkormányzat 2022. '!D49:MM49,'1.a sz. Önkormányzat 2022. '!$D$4:$MM$4,"önként vállalt",'1.a sz. Önkormányzat 2022. '!$D$2:$MM$2,"Eredeti előirányzat")+SUMIFS(D49:DI49,$D$4:$DI$4,"önként vállalt",$D$2:$DI$2,"Eredeti előirányzat")</f>
        <v>8</v>
      </c>
      <c r="DO49" s="241">
        <f>+'1.a sz. Önkormányzat 2022. '!NA49+'1.b sz. Önkormányzat 2022.'!EB49</f>
        <v>8</v>
      </c>
      <c r="DP49" s="759">
        <f>SUMIFS('1.a sz. Önkormányzat 2022. '!E49:MO49,'1.a sz. Önkormányzat 2022. '!$D$4:$MN$4,"önként vállalt",'1.a sz. Önkormányzat 2022. '!$D$2:$MN$2,"Módosított előirányzat")+SUMIFS(E49:DJ49,$D$4:$DI$4,"önként vállalt",$D$2:$DI$2,"Módosított előirányzat")</f>
        <v>7.8</v>
      </c>
      <c r="DQ49" s="759">
        <f>SUMIFS('1.a sz. Önkormányzat 2022. '!D49:MH49,'1.a sz. Önkormányzat 2022. '!$D$4:$MH$4,"államigazgatási",'1.a sz. Önkormányzat 2022. '!$D$2:$MH$2,"Eredeti előirányzat")+SUMIFS(D49:DI49,$D$4:$DI$4,"államigazgatási",$D$2:$DI$2,"Eredeti előirányzat")</f>
        <v>0</v>
      </c>
      <c r="DR49" s="759">
        <f>SUMIFS('1.a sz. Önkormányzat 2022. '!D49:MH49,'1.a sz. Önkormányzat 2022. '!$D$4:$MH$4,"államigazgatási",'1.a sz. Önkormányzat 2022. '!$D$2:$MH$2,"Módosított előirányzat")+SUMIFS(D49:DI49,$D$4:$DI$4,"államigazgatási",$D$2:$DI$2,"Módosított előirányzat")</f>
        <v>0</v>
      </c>
      <c r="DS49" s="759">
        <f>SUMIFS('1.a sz. Önkormányzat 2022. '!E49:MI49,'1.a sz. Önkormányzat 2022. '!$D$4:$MH$4,"államigazgatási",'1.a sz. Önkormányzat 2022. '!$D$2:$MH$2,"Módosított előirányzat")+SUMIFS(E49:DJ49,$D$4:$DI$4,"államigazgatási",$D$2:$DI$2,"Módosított előirányzat")</f>
        <v>0</v>
      </c>
      <c r="DT49" s="759">
        <f t="shared" si="1"/>
        <v>25</v>
      </c>
      <c r="DU49" s="759">
        <f t="shared" si="9"/>
        <v>25</v>
      </c>
      <c r="DV49" s="759">
        <f t="shared" si="2"/>
        <v>20</v>
      </c>
      <c r="DW49" s="383">
        <f>+'1.a sz. Önkormányzat 2022. '!LF49</f>
        <v>0</v>
      </c>
      <c r="DX49" s="383">
        <f>+'1.a sz. Önkormányzat 2022. '!LG49</f>
        <v>0</v>
      </c>
      <c r="DY49" s="383">
        <f>+'1.a sz. Önkormányzat 2022. '!LH49</f>
        <v>0</v>
      </c>
      <c r="DZ49" s="679">
        <f t="shared" si="3"/>
        <v>0</v>
      </c>
      <c r="EA49" s="760">
        <f t="shared" si="4"/>
        <v>0</v>
      </c>
      <c r="EB49" s="676">
        <f t="shared" si="5"/>
        <v>0</v>
      </c>
      <c r="EC49" s="676">
        <f t="shared" si="6"/>
        <v>0</v>
      </c>
    </row>
    <row r="50" spans="1:133" s="215" customFormat="1" ht="21.75" customHeight="1" x14ac:dyDescent="0.25">
      <c r="A50" s="208" t="s">
        <v>286</v>
      </c>
      <c r="B50" s="224" t="s">
        <v>964</v>
      </c>
      <c r="C50" s="210"/>
      <c r="D50" s="243"/>
      <c r="E50" s="243"/>
      <c r="F50" s="243"/>
      <c r="G50" s="243"/>
      <c r="H50" s="243"/>
      <c r="I50" s="243"/>
      <c r="J50" s="243"/>
      <c r="K50" s="243"/>
      <c r="L50" s="243"/>
      <c r="M50" s="243"/>
      <c r="N50" s="243"/>
      <c r="O50" s="243"/>
      <c r="P50" s="243"/>
      <c r="Q50" s="243"/>
      <c r="R50" s="243"/>
      <c r="S50" s="243"/>
      <c r="T50" s="243"/>
      <c r="U50" s="243"/>
      <c r="V50" s="243"/>
      <c r="W50" s="243"/>
      <c r="X50" s="243"/>
      <c r="Y50" s="262"/>
      <c r="Z50" s="262"/>
      <c r="AA50" s="262"/>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62"/>
      <c r="BG50" s="262"/>
      <c r="BH50" s="262"/>
      <c r="BI50" s="262"/>
      <c r="BJ50" s="262"/>
      <c r="BK50" s="262"/>
      <c r="BL50" s="262"/>
      <c r="BM50" s="262"/>
      <c r="BN50" s="262"/>
      <c r="BO50" s="262"/>
      <c r="BP50" s="262"/>
      <c r="BQ50" s="262"/>
      <c r="BR50" s="262"/>
      <c r="BS50" s="262"/>
      <c r="BT50" s="262"/>
      <c r="BU50" s="243"/>
      <c r="BV50" s="243"/>
      <c r="BW50" s="243"/>
      <c r="BX50" s="243"/>
      <c r="BY50" s="243"/>
      <c r="BZ50" s="243"/>
      <c r="CA50" s="243"/>
      <c r="CB50" s="243"/>
      <c r="CC50" s="243"/>
      <c r="CD50" s="243"/>
      <c r="CE50" s="243"/>
      <c r="CF50" s="243"/>
      <c r="CG50" s="243"/>
      <c r="CH50" s="243"/>
      <c r="CI50" s="243"/>
      <c r="CJ50" s="243"/>
      <c r="CK50" s="243"/>
      <c r="CL50" s="243"/>
      <c r="CM50" s="243"/>
      <c r="CN50" s="243"/>
      <c r="CO50" s="243"/>
      <c r="CP50" s="243"/>
      <c r="CQ50" s="243"/>
      <c r="CR50" s="243"/>
      <c r="CS50" s="243"/>
      <c r="CT50" s="243"/>
      <c r="CU50" s="243"/>
      <c r="CV50" s="243"/>
      <c r="CW50" s="243"/>
      <c r="CX50" s="243"/>
      <c r="CY50" s="243"/>
      <c r="CZ50" s="243"/>
      <c r="DA50" s="243"/>
      <c r="DB50" s="243"/>
      <c r="DC50" s="243"/>
      <c r="DD50" s="243"/>
      <c r="DE50" s="243"/>
      <c r="DF50" s="243"/>
      <c r="DG50" s="243"/>
      <c r="DH50" s="243"/>
      <c r="DI50" s="243"/>
      <c r="DJ50" s="243"/>
      <c r="DK50" s="241">
        <f>SUMIFS('1.a sz. Önkormányzat 2022. '!D50:MH50,'1.a sz. Önkormányzat 2022. '!$D$4:$MH$4,"kötelező",'1.a sz. Önkormányzat 2022. '!$D$2:$MH$2,"Eredeti előirányzat")+SUMIFS(D50:DI50,$D$4:$DI$4,"kötelező",$D$2:$DI$2,"Eredeti előirányzat")</f>
        <v>940000000</v>
      </c>
      <c r="DL50" s="211">
        <f>+'1.a sz. Önkormányzat 2022. '!MY50+'1.b sz. Önkormányzat 2022.'!DZ50</f>
        <v>905879500</v>
      </c>
      <c r="DM50" s="241">
        <f>SUMIFS('1.a sz. Önkormányzat 2022. '!E50:MX50,'1.a sz. Önkormányzat 2022. '!$D$4:$MW$4,"kötelező",'1.a sz. Önkormányzat 2022. '!$D$2:$MW$2,"Módosított előirányzat")+SUMIFS(E50:DJ50,$D$4:$DI$4,"kötelező",$D$2:$DI$2,"Módosított előirányzat")</f>
        <v>0</v>
      </c>
      <c r="DN50" s="241">
        <f>SUMIFS('1.a sz. Önkormányzat 2022. '!D50:MM50,'1.a sz. Önkormányzat 2022. '!$D$4:$MM$4,"önként vállalt",'1.a sz. Önkormányzat 2022. '!$D$2:$MM$2,"Eredeti előirányzat")+SUMIFS(D50:DI50,$D$4:$DI$4,"önként vállalt",$D$2:$DI$2,"Eredeti előirányzat")</f>
        <v>0</v>
      </c>
      <c r="DO50" s="241">
        <f>+'1.a sz. Önkormányzat 2022. '!NA50+'1.b sz. Önkormányzat 2022.'!EB50</f>
        <v>0</v>
      </c>
      <c r="DP50" s="241">
        <f>SUMIFS('1.a sz. Önkormányzat 2022. '!E50:MO50,'1.a sz. Önkormányzat 2022. '!$D$4:$MN$4,"önként vállalt",'1.a sz. Önkormányzat 2022. '!$D$2:$MN$2,"Módosított előirányzat")+SUMIFS(E50:DJ50,$D$4:$DI$4,"önként vállalt",$D$2:$DI$2,"Módosított előirányzat")</f>
        <v>0</v>
      </c>
      <c r="DQ50" s="241">
        <f>SUMIFS('1.a sz. Önkormányzat 2022. '!D50:MH50,'1.a sz. Önkormányzat 2022. '!$D$4:$MH$4,"államigazgatási",'1.a sz. Önkormányzat 2022. '!$D$2:$MH$2,"Eredeti előirányzat")+SUMIFS(D50:DI50,$D$4:$DI$4,"államigazgatási",$D$2:$DI$2,"Eredeti előirányzat")</f>
        <v>0</v>
      </c>
      <c r="DR50" s="241">
        <f>SUMIFS('1.a sz. Önkormányzat 2022. '!D50:MH50,'1.a sz. Önkormányzat 2022. '!$D$4:$MH$4,"államigazgatási",'1.a sz. Önkormányzat 2022. '!$D$2:$MH$2,"Módosított előirányzat")+SUMIFS(D50:DI50,$D$4:$DI$4,"államigazgatási",$D$2:$DI$2,"Módosított előirányzat")</f>
        <v>0</v>
      </c>
      <c r="DS50" s="241">
        <f>SUMIFS('1.a sz. Önkormányzat 2022. '!E50:MI50,'1.a sz. Önkormányzat 2022. '!$D$4:$MH$4,"államigazgatási",'1.a sz. Önkormányzat 2022. '!$D$2:$MH$2,"Módosított előirányzat")+SUMIFS(E50:DJ50,$D$4:$DI$4,"államigazgatási",$D$2:$DI$2,"Módosított előirányzat")</f>
        <v>0</v>
      </c>
      <c r="DT50" s="241">
        <f>DK50+DN50+DQ50</f>
        <v>940000000</v>
      </c>
      <c r="DU50" s="241">
        <f>DL50+DO50+DR50</f>
        <v>905879500</v>
      </c>
      <c r="DV50" s="241">
        <f t="shared" si="2"/>
        <v>0</v>
      </c>
      <c r="DW50" s="383">
        <f>+'1.a sz. Önkormányzat 2022. '!LF50</f>
        <v>0</v>
      </c>
      <c r="DX50" s="383">
        <f>+'1.a sz. Önkormányzat 2022. '!LG50</f>
        <v>0</v>
      </c>
      <c r="DY50" s="383">
        <f>+'1.a sz. Önkormányzat 2022. '!LH50</f>
        <v>0</v>
      </c>
      <c r="DZ50" s="679">
        <f t="shared" si="3"/>
        <v>0</v>
      </c>
      <c r="EA50" s="679">
        <f t="shared" si="4"/>
        <v>0</v>
      </c>
      <c r="EB50" s="676">
        <f t="shared" si="5"/>
        <v>0</v>
      </c>
      <c r="EC50" s="676">
        <f t="shared" si="6"/>
        <v>0</v>
      </c>
    </row>
    <row r="51" spans="1:133" x14ac:dyDescent="0.25">
      <c r="A51" s="204"/>
      <c r="D51" s="213" t="e">
        <f>SUM(#REF!)</f>
        <v>#REF!</v>
      </c>
      <c r="E51" s="213"/>
      <c r="F51" s="213"/>
      <c r="G51" s="213"/>
      <c r="H51" s="213"/>
      <c r="I51" s="213"/>
      <c r="J51" s="213"/>
      <c r="K51" s="213"/>
      <c r="L51" s="213"/>
      <c r="M51" s="213"/>
      <c r="N51" s="213"/>
      <c r="O51" s="213"/>
      <c r="P51" s="213" t="e">
        <f>SUM(#REF!)</f>
        <v>#REF!</v>
      </c>
      <c r="Q51" s="213"/>
      <c r="R51" s="213"/>
      <c r="S51" s="213"/>
      <c r="T51" s="213"/>
      <c r="U51" s="213"/>
      <c r="V51" s="213"/>
      <c r="W51" s="213"/>
      <c r="X51" s="213"/>
      <c r="Y51" s="213"/>
      <c r="Z51" s="213"/>
      <c r="AA51" s="213"/>
      <c r="AB51" s="213" t="e">
        <f>SUM(#REF!)</f>
        <v>#REF!</v>
      </c>
      <c r="AC51" s="213"/>
      <c r="AD51" s="213"/>
      <c r="AE51" s="213"/>
      <c r="AF51" s="213"/>
      <c r="AG51" s="213"/>
      <c r="AH51" s="213"/>
      <c r="AI51" s="213"/>
      <c r="AJ51" s="213"/>
      <c r="AK51" s="213"/>
      <c r="AL51" s="213"/>
      <c r="AM51" s="213"/>
      <c r="AN51" s="213"/>
      <c r="AO51" s="213"/>
      <c r="AP51" s="213"/>
      <c r="AQ51" s="213" t="e">
        <f>SUM(#REF!)</f>
        <v>#REF!</v>
      </c>
      <c r="AR51" s="213"/>
      <c r="AS51" s="213"/>
      <c r="AT51" s="213" t="e">
        <f>SUM(#REF!)</f>
        <v>#REF!</v>
      </c>
      <c r="AU51" s="213"/>
      <c r="AV51" s="213"/>
      <c r="AW51" s="213" t="e">
        <f>SUM(#REF!)</f>
        <v>#REF!</v>
      </c>
      <c r="AX51" s="213"/>
      <c r="AY51" s="213"/>
      <c r="AZ51" s="213" t="e">
        <f>SUM(#REF!)</f>
        <v>#REF!</v>
      </c>
      <c r="BA51" s="213"/>
      <c r="BB51" s="213"/>
      <c r="BC51" s="213" t="e">
        <f>SUM(#REF!)</f>
        <v>#REF!</v>
      </c>
      <c r="BD51" s="213"/>
      <c r="BE51" s="213"/>
      <c r="BF51" s="213" t="e">
        <f>SUM(#REF!)</f>
        <v>#REF!</v>
      </c>
      <c r="BG51" s="213"/>
      <c r="BH51" s="213"/>
      <c r="BI51" s="213" t="e">
        <f>SUM(#REF!)</f>
        <v>#REF!</v>
      </c>
      <c r="BJ51" s="213"/>
      <c r="BK51" s="213"/>
      <c r="BL51" s="213" t="e">
        <f>SUM(#REF!)</f>
        <v>#REF!</v>
      </c>
      <c r="BM51" s="213"/>
      <c r="BN51" s="213"/>
      <c r="BO51" s="213" t="e">
        <f>SUM(#REF!)</f>
        <v>#REF!</v>
      </c>
      <c r="BP51" s="213"/>
      <c r="BQ51" s="213"/>
      <c r="BR51" s="213" t="e">
        <f>SUM(#REF!)</f>
        <v>#REF!</v>
      </c>
      <c r="BS51" s="213"/>
      <c r="BT51" s="213"/>
      <c r="BU51" s="213" t="e">
        <f>SUM(#REF!)</f>
        <v>#REF!</v>
      </c>
      <c r="BV51" s="213"/>
      <c r="BW51" s="213"/>
      <c r="BX51" s="213" t="e">
        <f>SUM(#REF!)</f>
        <v>#REF!</v>
      </c>
      <c r="BY51" s="213"/>
      <c r="BZ51" s="213"/>
      <c r="CA51" s="213" t="e">
        <f>SUM(#REF!)</f>
        <v>#REF!</v>
      </c>
      <c r="CB51" s="213"/>
      <c r="CC51" s="213"/>
      <c r="CD51" s="213" t="e">
        <f>SUM(#REF!)</f>
        <v>#REF!</v>
      </c>
      <c r="CE51" s="213"/>
      <c r="CF51" s="213"/>
      <c r="CG51" s="213" t="e">
        <f>SUM(#REF!)</f>
        <v>#REF!</v>
      </c>
      <c r="CH51" s="213"/>
      <c r="CI51" s="213"/>
      <c r="CJ51" s="213" t="e">
        <f>SUM(#REF!)</f>
        <v>#REF!</v>
      </c>
      <c r="CK51" s="213"/>
      <c r="CL51" s="213"/>
      <c r="CM51" s="236" t="e">
        <f>SUM(#REF!)</f>
        <v>#REF!</v>
      </c>
      <c r="CN51" s="236"/>
      <c r="CO51" s="236"/>
      <c r="CP51" s="236"/>
      <c r="CQ51" s="236"/>
      <c r="CR51" s="236"/>
      <c r="CS51" s="236"/>
      <c r="CT51" s="236"/>
      <c r="CU51" s="236"/>
      <c r="CV51" s="236"/>
      <c r="CW51" s="236"/>
      <c r="CX51" s="236"/>
      <c r="CY51" s="213" t="e">
        <f>SUM(#REF!)</f>
        <v>#REF!</v>
      </c>
      <c r="CZ51" s="213"/>
      <c r="DA51" s="213"/>
      <c r="DB51" s="213" t="e">
        <f>SUM(#REF!)</f>
        <v>#REF!</v>
      </c>
      <c r="DC51" s="213"/>
      <c r="DD51" s="213"/>
      <c r="DE51" s="244" t="e">
        <f>SUM(#REF!)</f>
        <v>#REF!</v>
      </c>
      <c r="DF51" s="244"/>
      <c r="DG51" s="244"/>
      <c r="DH51" s="213" t="e">
        <f>SUM(#REF!)</f>
        <v>#REF!</v>
      </c>
      <c r="DI51" s="213"/>
      <c r="DJ51" s="213"/>
      <c r="DK51" s="213" t="e">
        <f>SUM(#REF!)</f>
        <v>#REF!</v>
      </c>
      <c r="DL51" s="213"/>
      <c r="DM51" s="213"/>
      <c r="DN51" s="213" t="e">
        <f>SUM(#REF!)</f>
        <v>#REF!</v>
      </c>
      <c r="DO51" s="213"/>
      <c r="DP51" s="213"/>
      <c r="DQ51" s="213" t="e">
        <f>SUM(#REF!)</f>
        <v>#REF!</v>
      </c>
      <c r="DR51" s="213"/>
      <c r="DS51" s="213"/>
      <c r="DT51" s="213"/>
      <c r="DU51" s="213"/>
      <c r="DV51" s="213"/>
      <c r="DW51" s="212" t="e">
        <f>SUM(#REF!)</f>
        <v>#REF!</v>
      </c>
      <c r="DX51" s="213"/>
      <c r="DY51" s="213"/>
      <c r="DZ51" s="213"/>
      <c r="EA51" s="679">
        <f t="shared" si="4"/>
        <v>0</v>
      </c>
      <c r="EB51" s="676">
        <f t="shared" si="5"/>
        <v>0</v>
      </c>
      <c r="EC51" s="676">
        <f t="shared" si="6"/>
        <v>0</v>
      </c>
    </row>
    <row r="52" spans="1:133" ht="16.5" thickBot="1" x14ac:dyDescent="0.3">
      <c r="A52" s="204"/>
      <c r="D52" s="213" t="e">
        <f>+#REF!+#REF!+#REF!+#REF!+#REF!</f>
        <v>#REF!</v>
      </c>
      <c r="E52" s="213"/>
      <c r="F52" s="213"/>
      <c r="G52" s="213"/>
      <c r="H52" s="213"/>
      <c r="I52" s="213"/>
      <c r="J52" s="213"/>
      <c r="K52" s="213"/>
      <c r="L52" s="213"/>
      <c r="M52" s="213"/>
      <c r="N52" s="213"/>
      <c r="O52" s="213"/>
      <c r="P52" s="213" t="e">
        <f>+#REF!+#REF!+#REF!+#REF!+#REF!</f>
        <v>#REF!</v>
      </c>
      <c r="Q52" s="213"/>
      <c r="R52" s="213"/>
      <c r="S52" s="213"/>
      <c r="T52" s="213"/>
      <c r="U52" s="213"/>
      <c r="V52" s="213"/>
      <c r="W52" s="213"/>
      <c r="X52" s="213"/>
      <c r="Y52" s="213"/>
      <c r="Z52" s="213"/>
      <c r="AA52" s="213"/>
      <c r="AB52" s="213" t="e">
        <f>+#REF!+#REF!+#REF!+#REF!+#REF!</f>
        <v>#REF!</v>
      </c>
      <c r="AC52" s="213"/>
      <c r="AD52" s="213"/>
      <c r="AE52" s="213"/>
      <c r="AF52" s="213"/>
      <c r="AG52" s="213"/>
      <c r="AH52" s="213"/>
      <c r="AI52" s="213"/>
      <c r="AJ52" s="213"/>
      <c r="AK52" s="213"/>
      <c r="AL52" s="213"/>
      <c r="AM52" s="213"/>
      <c r="AN52" s="213"/>
      <c r="AO52" s="213"/>
      <c r="AP52" s="213"/>
      <c r="AQ52" s="213" t="e">
        <f>+#REF!+#REF!+#REF!+#REF!+#REF!</f>
        <v>#REF!</v>
      </c>
      <c r="AR52" s="213"/>
      <c r="AS52" s="213"/>
      <c r="AT52" s="213" t="e">
        <f>+#REF!+#REF!+#REF!+#REF!+#REF!</f>
        <v>#REF!</v>
      </c>
      <c r="AU52" s="213"/>
      <c r="AV52" s="213"/>
      <c r="AW52" s="213" t="e">
        <f>+#REF!+#REF!+#REF!+#REF!+#REF!</f>
        <v>#REF!</v>
      </c>
      <c r="AX52" s="213"/>
      <c r="AY52" s="213"/>
      <c r="AZ52" s="213" t="e">
        <f>+#REF!+#REF!+#REF!+#REF!+#REF!</f>
        <v>#REF!</v>
      </c>
      <c r="BA52" s="213"/>
      <c r="BB52" s="213"/>
      <c r="BC52" s="213" t="e">
        <f>+#REF!+#REF!+#REF!+#REF!+#REF!</f>
        <v>#REF!</v>
      </c>
      <c r="BD52" s="213"/>
      <c r="BE52" s="213"/>
      <c r="BF52" s="213" t="e">
        <f>+#REF!+#REF!+#REF!+#REF!+#REF!</f>
        <v>#REF!</v>
      </c>
      <c r="BG52" s="213"/>
      <c r="BH52" s="213"/>
      <c r="BI52" s="213" t="e">
        <f>+#REF!+#REF!+#REF!+#REF!+#REF!</f>
        <v>#REF!</v>
      </c>
      <c r="BJ52" s="213"/>
      <c r="BK52" s="213"/>
      <c r="BL52" s="213" t="e">
        <f>+#REF!+#REF!+#REF!+#REF!+#REF!</f>
        <v>#REF!</v>
      </c>
      <c r="BM52" s="213"/>
      <c r="BN52" s="213"/>
      <c r="BO52" s="213" t="e">
        <f>+#REF!+#REF!+#REF!+#REF!+#REF!</f>
        <v>#REF!</v>
      </c>
      <c r="BP52" s="213"/>
      <c r="BQ52" s="213"/>
      <c r="BR52" s="213" t="e">
        <f>+#REF!+#REF!+#REF!+#REF!+#REF!</f>
        <v>#REF!</v>
      </c>
      <c r="BS52" s="213"/>
      <c r="BT52" s="213"/>
      <c r="BU52" s="213" t="e">
        <f>+#REF!+#REF!+#REF!+#REF!+#REF!</f>
        <v>#REF!</v>
      </c>
      <c r="BV52" s="213"/>
      <c r="BW52" s="213"/>
      <c r="BX52" s="213" t="e">
        <f>+#REF!+#REF!+#REF!+#REF!+#REF!</f>
        <v>#REF!</v>
      </c>
      <c r="BY52" s="213"/>
      <c r="BZ52" s="213"/>
      <c r="CA52" s="213" t="e">
        <f>+#REF!+#REF!+#REF!+#REF!+#REF!</f>
        <v>#REF!</v>
      </c>
      <c r="CB52" s="213"/>
      <c r="CC52" s="213"/>
      <c r="CD52" s="213" t="e">
        <f>+#REF!+#REF!+#REF!+#REF!+#REF!</f>
        <v>#REF!</v>
      </c>
      <c r="CE52" s="213"/>
      <c r="CF52" s="213"/>
      <c r="CG52" s="213" t="e">
        <f>+#REF!+#REF!+#REF!+#REF!+#REF!</f>
        <v>#REF!</v>
      </c>
      <c r="CH52" s="213"/>
      <c r="CI52" s="213"/>
      <c r="CJ52" s="213" t="e">
        <f>+#REF!+#REF!+#REF!+#REF!+#REF!</f>
        <v>#REF!</v>
      </c>
      <c r="CK52" s="213"/>
      <c r="CL52" s="213"/>
      <c r="CM52" s="236" t="e">
        <f>+#REF!+#REF!+#REF!+#REF!+#REF!</f>
        <v>#REF!</v>
      </c>
      <c r="CN52" s="236"/>
      <c r="CO52" s="236"/>
      <c r="CP52" s="236"/>
      <c r="CQ52" s="236"/>
      <c r="CR52" s="236"/>
      <c r="CS52" s="236"/>
      <c r="CT52" s="236"/>
      <c r="CU52" s="236"/>
      <c r="CV52" s="236"/>
      <c r="CW52" s="236"/>
      <c r="CX52" s="236"/>
      <c r="CY52" s="213" t="e">
        <f>+#REF!+#REF!+#REF!+#REF!+#REF!</f>
        <v>#REF!</v>
      </c>
      <c r="CZ52" s="213"/>
      <c r="DA52" s="213"/>
      <c r="DB52" s="213" t="e">
        <f>+#REF!+#REF!+#REF!+#REF!+#REF!</f>
        <v>#REF!</v>
      </c>
      <c r="DC52" s="213"/>
      <c r="DD52" s="213"/>
      <c r="DE52" s="244" t="e">
        <f>+#REF!+#REF!+#REF!+#REF!+#REF!</f>
        <v>#REF!</v>
      </c>
      <c r="DF52" s="244"/>
      <c r="DG52" s="244"/>
      <c r="DH52" s="213" t="e">
        <f>+#REF!+#REF!+#REF!+#REF!+#REF!</f>
        <v>#REF!</v>
      </c>
      <c r="DI52" s="213"/>
      <c r="DJ52" s="213"/>
      <c r="DK52" s="213" t="e">
        <f>+#REF!+#REF!+#REF!+#REF!+#REF!</f>
        <v>#REF!</v>
      </c>
      <c r="DL52" s="213"/>
      <c r="DM52" s="213"/>
      <c r="DN52" s="213" t="e">
        <f>+#REF!+#REF!+#REF!+#REF!+#REF!</f>
        <v>#REF!</v>
      </c>
      <c r="DO52" s="213"/>
      <c r="DP52" s="213"/>
      <c r="DQ52" s="213" t="e">
        <f>+#REF!+#REF!+#REF!+#REF!+#REF!</f>
        <v>#REF!</v>
      </c>
      <c r="DR52" s="213"/>
      <c r="DS52" s="213"/>
      <c r="DT52" s="213"/>
      <c r="DU52" s="213"/>
      <c r="DV52" s="213"/>
      <c r="DW52" s="213"/>
      <c r="DX52" s="213"/>
      <c r="DY52" s="213"/>
      <c r="DZ52" s="213"/>
      <c r="EA52" s="213"/>
      <c r="EB52" s="213"/>
      <c r="EC52" s="213">
        <f>+DV48-DV37-DV38</f>
        <v>0</v>
      </c>
    </row>
    <row r="53" spans="1:133" ht="16.5" thickBot="1" x14ac:dyDescent="0.3">
      <c r="A53" s="204"/>
      <c r="D53" s="213" t="e">
        <f>+#REF!</f>
        <v>#REF!</v>
      </c>
      <c r="E53" s="213"/>
      <c r="F53" s="213"/>
      <c r="G53" s="213"/>
      <c r="H53" s="213"/>
      <c r="I53" s="213"/>
      <c r="J53" s="213"/>
      <c r="K53" s="213"/>
      <c r="L53" s="213"/>
      <c r="M53" s="213"/>
      <c r="N53" s="213"/>
      <c r="O53" s="213"/>
      <c r="P53" s="213" t="e">
        <f>+#REF!</f>
        <v>#REF!</v>
      </c>
      <c r="Q53" s="213"/>
      <c r="R53" s="213"/>
      <c r="S53" s="213"/>
      <c r="T53" s="213"/>
      <c r="U53" s="213"/>
      <c r="V53" s="213"/>
      <c r="W53" s="213"/>
      <c r="X53" s="213"/>
      <c r="Y53" s="213"/>
      <c r="Z53" s="213"/>
      <c r="AA53" s="213"/>
      <c r="AB53" s="213" t="e">
        <f>+#REF!</f>
        <v>#REF!</v>
      </c>
      <c r="AC53" s="213"/>
      <c r="AD53" s="213"/>
      <c r="AE53" s="213"/>
      <c r="AF53" s="213"/>
      <c r="AG53" s="213"/>
      <c r="AH53" s="213"/>
      <c r="AI53" s="213"/>
      <c r="AJ53" s="213"/>
      <c r="AK53" s="213"/>
      <c r="AL53" s="213"/>
      <c r="AM53" s="213"/>
      <c r="AN53" s="213"/>
      <c r="AO53" s="213"/>
      <c r="AP53" s="213"/>
      <c r="AQ53" s="213" t="e">
        <f>+#REF!</f>
        <v>#REF!</v>
      </c>
      <c r="AR53" s="213"/>
      <c r="AS53" s="213"/>
      <c r="AT53" s="213" t="e">
        <f>+#REF!</f>
        <v>#REF!</v>
      </c>
      <c r="AU53" s="213"/>
      <c r="AV53" s="213"/>
      <c r="AW53" s="213" t="e">
        <f>+#REF!</f>
        <v>#REF!</v>
      </c>
      <c r="AX53" s="213"/>
      <c r="AY53" s="213"/>
      <c r="AZ53" s="213" t="e">
        <f>+#REF!</f>
        <v>#REF!</v>
      </c>
      <c r="BA53" s="213"/>
      <c r="BB53" s="213"/>
      <c r="BC53" s="213" t="e">
        <f>+#REF!</f>
        <v>#REF!</v>
      </c>
      <c r="BD53" s="213"/>
      <c r="BE53" s="213"/>
      <c r="BF53" s="213" t="e">
        <f>+#REF!</f>
        <v>#REF!</v>
      </c>
      <c r="BG53" s="213"/>
      <c r="BH53" s="213"/>
      <c r="BI53" s="213" t="e">
        <f>+#REF!</f>
        <v>#REF!</v>
      </c>
      <c r="BJ53" s="213"/>
      <c r="BK53" s="213"/>
      <c r="BL53" s="213" t="e">
        <f>+#REF!</f>
        <v>#REF!</v>
      </c>
      <c r="BM53" s="213"/>
      <c r="BN53" s="213"/>
      <c r="BO53" s="213" t="e">
        <f>+#REF!</f>
        <v>#REF!</v>
      </c>
      <c r="BP53" s="213"/>
      <c r="BQ53" s="213"/>
      <c r="BR53" s="213" t="e">
        <f>+#REF!</f>
        <v>#REF!</v>
      </c>
      <c r="BS53" s="213"/>
      <c r="BT53" s="213"/>
      <c r="BU53" s="213" t="e">
        <f>+#REF!</f>
        <v>#REF!</v>
      </c>
      <c r="BV53" s="213"/>
      <c r="BW53" s="213"/>
      <c r="BX53" s="213" t="e">
        <f>+#REF!</f>
        <v>#REF!</v>
      </c>
      <c r="BY53" s="213"/>
      <c r="BZ53" s="213"/>
      <c r="CA53" s="213" t="e">
        <f>+#REF!</f>
        <v>#REF!</v>
      </c>
      <c r="CB53" s="213"/>
      <c r="CC53" s="213"/>
      <c r="CD53" s="213" t="e">
        <f>+#REF!</f>
        <v>#REF!</v>
      </c>
      <c r="CE53" s="213"/>
      <c r="CF53" s="213"/>
      <c r="CG53" s="213" t="e">
        <f>+#REF!</f>
        <v>#REF!</v>
      </c>
      <c r="CH53" s="213"/>
      <c r="CI53" s="213"/>
      <c r="CJ53" s="213" t="e">
        <f>+#REF!</f>
        <v>#REF!</v>
      </c>
      <c r="CK53" s="213"/>
      <c r="CL53" s="213"/>
      <c r="CM53" s="236" t="e">
        <f>+#REF!</f>
        <v>#REF!</v>
      </c>
      <c r="CN53" s="236"/>
      <c r="CO53" s="236"/>
      <c r="CP53" s="236"/>
      <c r="CQ53" s="236"/>
      <c r="CR53" s="236"/>
      <c r="CS53" s="236"/>
      <c r="CT53" s="236"/>
      <c r="CU53" s="236"/>
      <c r="CV53" s="236"/>
      <c r="CW53" s="236"/>
      <c r="CX53" s="236"/>
      <c r="CY53" s="213" t="e">
        <f>+#REF!</f>
        <v>#REF!</v>
      </c>
      <c r="CZ53" s="213"/>
      <c r="DA53" s="213"/>
      <c r="DB53" s="213" t="e">
        <f>+#REF!</f>
        <v>#REF!</v>
      </c>
      <c r="DC53" s="213"/>
      <c r="DD53" s="213"/>
      <c r="DE53" s="244" t="e">
        <f>+#REF!</f>
        <v>#REF!</v>
      </c>
      <c r="DF53" s="244"/>
      <c r="DG53" s="244"/>
      <c r="DH53" s="213" t="e">
        <f>+#REF!</f>
        <v>#REF!</v>
      </c>
      <c r="DI53" s="213"/>
      <c r="DJ53" s="213"/>
      <c r="DK53" s="213" t="e">
        <f>+#REF!</f>
        <v>#REF!</v>
      </c>
      <c r="DL53" s="213"/>
      <c r="DM53" s="213"/>
      <c r="DN53" s="213" t="e">
        <f>+#REF!</f>
        <v>#REF!</v>
      </c>
      <c r="DO53" s="213"/>
      <c r="DP53" s="213"/>
      <c r="DQ53" s="213" t="e">
        <f>+#REF!</f>
        <v>#REF!</v>
      </c>
      <c r="DR53" s="213"/>
      <c r="DS53" s="213"/>
      <c r="DT53" s="213"/>
      <c r="DU53" s="213"/>
      <c r="DV53" s="213"/>
      <c r="DW53" s="226" t="e">
        <f>+#REF!-#REF!</f>
        <v>#REF!</v>
      </c>
      <c r="DX53" s="213" t="e">
        <f>+'[1]3. sz.Városi szintű összesen'!#REF!</f>
        <v>#REF!</v>
      </c>
      <c r="DY53" s="213"/>
      <c r="DZ53" s="213"/>
      <c r="EA53" s="213"/>
      <c r="EB53" s="213"/>
      <c r="EC53" s="213"/>
    </row>
    <row r="54" spans="1:133" x14ac:dyDescent="0.25">
      <c r="A54" s="204"/>
      <c r="D54" s="213" t="e">
        <f>+D52-D53</f>
        <v>#REF!</v>
      </c>
      <c r="E54" s="213"/>
      <c r="F54" s="213"/>
      <c r="G54" s="213"/>
      <c r="H54" s="213"/>
      <c r="I54" s="213"/>
      <c r="J54" s="213"/>
      <c r="K54" s="213"/>
      <c r="L54" s="213"/>
      <c r="M54" s="213"/>
      <c r="N54" s="213"/>
      <c r="O54" s="213"/>
      <c r="P54" s="213" t="e">
        <f>+P52-P53</f>
        <v>#REF!</v>
      </c>
      <c r="Q54" s="213"/>
      <c r="R54" s="213"/>
      <c r="S54" s="213"/>
      <c r="T54" s="213"/>
      <c r="U54" s="213"/>
      <c r="V54" s="213"/>
      <c r="W54" s="213"/>
      <c r="X54" s="213"/>
      <c r="Y54" s="213"/>
      <c r="Z54" s="213"/>
      <c r="AA54" s="213"/>
      <c r="AB54" s="213" t="e">
        <f>+AB52-AB53</f>
        <v>#REF!</v>
      </c>
      <c r="AC54" s="213"/>
      <c r="AD54" s="213"/>
      <c r="AE54" s="213"/>
      <c r="AF54" s="213"/>
      <c r="AG54" s="213"/>
      <c r="AH54" s="213"/>
      <c r="AI54" s="213"/>
      <c r="AJ54" s="213"/>
      <c r="AK54" s="213"/>
      <c r="AL54" s="213"/>
      <c r="AM54" s="213"/>
      <c r="AN54" s="213"/>
      <c r="AO54" s="213"/>
      <c r="AP54" s="213"/>
      <c r="AQ54" s="213" t="e">
        <f>+AQ52-AQ53</f>
        <v>#REF!</v>
      </c>
      <c r="AR54" s="213"/>
      <c r="AS54" s="213"/>
      <c r="AT54" s="213" t="e">
        <f>+AT52-AT53</f>
        <v>#REF!</v>
      </c>
      <c r="AU54" s="213"/>
      <c r="AV54" s="213"/>
      <c r="AW54" s="213" t="e">
        <f>+AW52-AW53</f>
        <v>#REF!</v>
      </c>
      <c r="AX54" s="213"/>
      <c r="AY54" s="213"/>
      <c r="AZ54" s="213" t="e">
        <f>+AZ52-AZ53</f>
        <v>#REF!</v>
      </c>
      <c r="BA54" s="213"/>
      <c r="BB54" s="213"/>
      <c r="BC54" s="213" t="e">
        <f>+BC52-BC53</f>
        <v>#REF!</v>
      </c>
      <c r="BD54" s="213"/>
      <c r="BE54" s="213"/>
      <c r="BF54" s="213" t="e">
        <f>+BF52-BF53</f>
        <v>#REF!</v>
      </c>
      <c r="BG54" s="213"/>
      <c r="BH54" s="213"/>
      <c r="BI54" s="213" t="e">
        <f>+BI52-BI53</f>
        <v>#REF!</v>
      </c>
      <c r="BJ54" s="213"/>
      <c r="BK54" s="213"/>
      <c r="BL54" s="213" t="e">
        <f>+BL52-BL53</f>
        <v>#REF!</v>
      </c>
      <c r="BM54" s="213"/>
      <c r="BN54" s="213"/>
      <c r="BO54" s="213" t="e">
        <f>+BO52-BO53</f>
        <v>#REF!</v>
      </c>
      <c r="BP54" s="213"/>
      <c r="BQ54" s="213"/>
      <c r="BR54" s="213" t="e">
        <f>+BR52-BR53</f>
        <v>#REF!</v>
      </c>
      <c r="BS54" s="213"/>
      <c r="BT54" s="213"/>
      <c r="BU54" s="213" t="e">
        <f>+BU52-BU53</f>
        <v>#REF!</v>
      </c>
      <c r="BV54" s="213"/>
      <c r="BW54" s="213"/>
      <c r="BX54" s="213" t="e">
        <f>+BX52-BX53</f>
        <v>#REF!</v>
      </c>
      <c r="BY54" s="213"/>
      <c r="BZ54" s="213"/>
      <c r="CA54" s="213" t="e">
        <f>+CA52-CA53</f>
        <v>#REF!</v>
      </c>
      <c r="CB54" s="213"/>
      <c r="CC54" s="213"/>
      <c r="CD54" s="213" t="e">
        <f>+CD52-CD53</f>
        <v>#REF!</v>
      </c>
      <c r="CE54" s="213"/>
      <c r="CF54" s="213"/>
      <c r="CG54" s="213" t="e">
        <f>+CG52-CG53</f>
        <v>#REF!</v>
      </c>
      <c r="CH54" s="213"/>
      <c r="CI54" s="213"/>
      <c r="CJ54" s="213" t="e">
        <f>+CJ52-CJ53</f>
        <v>#REF!</v>
      </c>
      <c r="CK54" s="213"/>
      <c r="CL54" s="213"/>
      <c r="CM54" s="236" t="e">
        <f>+CM52-CM53</f>
        <v>#REF!</v>
      </c>
      <c r="CN54" s="236"/>
      <c r="CO54" s="236"/>
      <c r="CP54" s="236"/>
      <c r="CQ54" s="236"/>
      <c r="CR54" s="236"/>
      <c r="CS54" s="236"/>
      <c r="CT54" s="236"/>
      <c r="CU54" s="236"/>
      <c r="CV54" s="236"/>
      <c r="CW54" s="236"/>
      <c r="CX54" s="236"/>
      <c r="CY54" s="213" t="e">
        <f>+CY52-CY53</f>
        <v>#REF!</v>
      </c>
      <c r="CZ54" s="213"/>
      <c r="DA54" s="213"/>
      <c r="DB54" s="213" t="e">
        <f>+DB52-DB53</f>
        <v>#REF!</v>
      </c>
      <c r="DC54" s="213"/>
      <c r="DD54" s="213"/>
      <c r="DE54" s="244" t="e">
        <f>+DE52-DE53</f>
        <v>#REF!</v>
      </c>
      <c r="DF54" s="244"/>
      <c r="DG54" s="244"/>
      <c r="DH54" s="213" t="e">
        <f>+DH52-DH53</f>
        <v>#REF!</v>
      </c>
      <c r="DI54" s="213"/>
      <c r="DJ54" s="213"/>
      <c r="DK54" s="213" t="e">
        <f>+DK52-DK53</f>
        <v>#REF!</v>
      </c>
      <c r="DL54" s="213"/>
      <c r="DM54" s="213"/>
      <c r="DN54" s="213" t="e">
        <f>+DN52-DN53</f>
        <v>#REF!</v>
      </c>
      <c r="DO54" s="213"/>
      <c r="DP54" s="213"/>
      <c r="DQ54" s="213" t="e">
        <f>+DQ52-DQ53</f>
        <v>#REF!</v>
      </c>
      <c r="DR54" s="213"/>
      <c r="DS54" s="213"/>
      <c r="DT54" s="227"/>
      <c r="DU54" s="227"/>
      <c r="DV54" s="227"/>
      <c r="DW54" s="227" t="e">
        <f>DW51-DW53</f>
        <v>#REF!</v>
      </c>
      <c r="DX54" s="227"/>
      <c r="DY54" s="227"/>
      <c r="DZ54" s="227"/>
      <c r="EA54" s="227"/>
      <c r="EB54" s="227"/>
      <c r="EC54" s="227"/>
    </row>
    <row r="55" spans="1:133" x14ac:dyDescent="0.25">
      <c r="A55" s="204"/>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36"/>
      <c r="CN55" s="236"/>
      <c r="CO55" s="236"/>
      <c r="CP55" s="236"/>
      <c r="CQ55" s="236"/>
      <c r="CR55" s="236"/>
      <c r="CS55" s="236"/>
      <c r="CT55" s="236"/>
      <c r="CU55" s="236"/>
      <c r="CV55" s="236"/>
      <c r="CW55" s="236"/>
      <c r="CX55" s="236"/>
      <c r="CY55" s="213"/>
      <c r="CZ55" s="213"/>
      <c r="DA55" s="213"/>
      <c r="DB55" s="213"/>
      <c r="DC55" s="213"/>
      <c r="DD55" s="213"/>
      <c r="DE55" s="244"/>
      <c r="DF55" s="244"/>
      <c r="DG55" s="244"/>
      <c r="DH55" s="213"/>
      <c r="DI55" s="213"/>
      <c r="DJ55" s="213"/>
      <c r="DK55" s="213"/>
      <c r="DL55" s="213"/>
      <c r="DM55" s="213"/>
      <c r="DN55" s="213"/>
      <c r="DO55" s="213"/>
      <c r="DP55" s="213"/>
      <c r="DQ55" s="213"/>
      <c r="DR55" s="213"/>
      <c r="DS55" s="213"/>
    </row>
    <row r="56" spans="1:133" x14ac:dyDescent="0.25">
      <c r="A56" s="204"/>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36"/>
      <c r="CN56" s="236"/>
      <c r="CO56" s="236"/>
      <c r="CP56" s="236"/>
      <c r="CQ56" s="236"/>
      <c r="CR56" s="236"/>
      <c r="CS56" s="236"/>
      <c r="CT56" s="236"/>
      <c r="CU56" s="236"/>
      <c r="CV56" s="236"/>
      <c r="CW56" s="236"/>
      <c r="CX56" s="236"/>
      <c r="CY56" s="213"/>
      <c r="CZ56" s="213"/>
      <c r="DA56" s="213"/>
      <c r="DB56" s="213"/>
      <c r="DC56" s="213"/>
      <c r="DD56" s="213"/>
      <c r="DE56" s="244"/>
      <c r="DF56" s="244"/>
      <c r="DG56" s="244"/>
      <c r="DW56" s="213" t="e">
        <f>+DW53+DW55</f>
        <v>#REF!</v>
      </c>
    </row>
    <row r="57" spans="1:133" x14ac:dyDescent="0.25">
      <c r="DQ57" s="213" t="e">
        <f>+#REF!-DQ56</f>
        <v>#REF!</v>
      </c>
      <c r="DR57" s="213"/>
      <c r="DS57" s="213"/>
    </row>
    <row r="58" spans="1:133" x14ac:dyDescent="0.25">
      <c r="F58" s="213">
        <f>+F20-F18-F17-F16-F12-F11-F10-F9-F8</f>
        <v>0</v>
      </c>
      <c r="G58" s="213">
        <f t="shared" ref="G58:BR58" si="23">+G20-G18-G17-G16-G12-G11-G10-G9-G8</f>
        <v>0</v>
      </c>
      <c r="H58" s="213">
        <f t="shared" si="23"/>
        <v>0</v>
      </c>
      <c r="I58" s="213">
        <f t="shared" si="23"/>
        <v>0</v>
      </c>
      <c r="J58" s="213">
        <f t="shared" si="23"/>
        <v>0</v>
      </c>
      <c r="K58" s="213">
        <f t="shared" si="23"/>
        <v>0</v>
      </c>
      <c r="L58" s="213">
        <f t="shared" si="23"/>
        <v>0</v>
      </c>
      <c r="M58" s="213">
        <f t="shared" si="23"/>
        <v>0</v>
      </c>
      <c r="N58" s="213">
        <f t="shared" si="23"/>
        <v>0</v>
      </c>
      <c r="O58" s="213">
        <f t="shared" si="23"/>
        <v>0</v>
      </c>
      <c r="P58" s="213">
        <f t="shared" si="23"/>
        <v>0</v>
      </c>
      <c r="Q58" s="213">
        <f t="shared" si="23"/>
        <v>0</v>
      </c>
      <c r="R58" s="213">
        <f t="shared" si="23"/>
        <v>0</v>
      </c>
      <c r="S58" s="213">
        <f t="shared" si="23"/>
        <v>0</v>
      </c>
      <c r="T58" s="213">
        <f t="shared" si="23"/>
        <v>0</v>
      </c>
      <c r="U58" s="213">
        <f t="shared" si="23"/>
        <v>0</v>
      </c>
      <c r="V58" s="213">
        <f t="shared" si="23"/>
        <v>0</v>
      </c>
      <c r="W58" s="213">
        <f t="shared" si="23"/>
        <v>0</v>
      </c>
      <c r="X58" s="213">
        <f t="shared" si="23"/>
        <v>0</v>
      </c>
      <c r="Y58" s="213">
        <f t="shared" si="23"/>
        <v>0</v>
      </c>
      <c r="Z58" s="213">
        <f t="shared" si="23"/>
        <v>0</v>
      </c>
      <c r="AA58" s="213">
        <f t="shared" si="23"/>
        <v>0</v>
      </c>
      <c r="AB58" s="213">
        <f t="shared" si="23"/>
        <v>0</v>
      </c>
      <c r="AC58" s="213">
        <f t="shared" si="23"/>
        <v>0</v>
      </c>
      <c r="AD58" s="213">
        <f t="shared" si="23"/>
        <v>0</v>
      </c>
      <c r="AE58" s="213">
        <f t="shared" si="23"/>
        <v>0</v>
      </c>
      <c r="AF58" s="213">
        <f t="shared" si="23"/>
        <v>0</v>
      </c>
      <c r="AG58" s="213">
        <f t="shared" si="23"/>
        <v>0</v>
      </c>
      <c r="AH58" s="213">
        <f t="shared" si="23"/>
        <v>0</v>
      </c>
      <c r="AI58" s="213">
        <f t="shared" si="23"/>
        <v>0</v>
      </c>
      <c r="AJ58" s="213">
        <f t="shared" si="23"/>
        <v>0</v>
      </c>
      <c r="AK58" s="213">
        <f t="shared" si="23"/>
        <v>0</v>
      </c>
      <c r="AL58" s="213">
        <f t="shared" si="23"/>
        <v>0</v>
      </c>
      <c r="AM58" s="213">
        <f t="shared" si="23"/>
        <v>0</v>
      </c>
      <c r="AN58" s="213">
        <f t="shared" si="23"/>
        <v>0</v>
      </c>
      <c r="AO58" s="213">
        <f t="shared" si="23"/>
        <v>0</v>
      </c>
      <c r="AP58" s="213">
        <f t="shared" si="23"/>
        <v>0</v>
      </c>
      <c r="AQ58" s="213">
        <f t="shared" si="23"/>
        <v>0</v>
      </c>
      <c r="AR58" s="213">
        <f t="shared" si="23"/>
        <v>0</v>
      </c>
      <c r="AS58" s="213">
        <f t="shared" si="23"/>
        <v>0</v>
      </c>
      <c r="AT58" s="213">
        <f t="shared" si="23"/>
        <v>0</v>
      </c>
      <c r="AU58" s="213">
        <f t="shared" si="23"/>
        <v>0</v>
      </c>
      <c r="AV58" s="213">
        <f t="shared" si="23"/>
        <v>0</v>
      </c>
      <c r="AW58" s="213">
        <f t="shared" si="23"/>
        <v>0</v>
      </c>
      <c r="AX58" s="213">
        <f t="shared" si="23"/>
        <v>0</v>
      </c>
      <c r="AY58" s="213">
        <f t="shared" si="23"/>
        <v>0</v>
      </c>
      <c r="AZ58" s="213">
        <f t="shared" si="23"/>
        <v>0</v>
      </c>
      <c r="BA58" s="213">
        <f t="shared" si="23"/>
        <v>0</v>
      </c>
      <c r="BB58" s="213">
        <f t="shared" si="23"/>
        <v>0</v>
      </c>
      <c r="BC58" s="213">
        <f t="shared" si="23"/>
        <v>0</v>
      </c>
      <c r="BD58" s="213">
        <f t="shared" si="23"/>
        <v>0</v>
      </c>
      <c r="BE58" s="213">
        <f t="shared" si="23"/>
        <v>0</v>
      </c>
      <c r="BF58" s="213">
        <f t="shared" si="23"/>
        <v>0</v>
      </c>
      <c r="BG58" s="213">
        <f t="shared" si="23"/>
        <v>0</v>
      </c>
      <c r="BH58" s="213">
        <f t="shared" si="23"/>
        <v>0</v>
      </c>
      <c r="BI58" s="213">
        <f t="shared" si="23"/>
        <v>0</v>
      </c>
      <c r="BJ58" s="213">
        <f t="shared" si="23"/>
        <v>0</v>
      </c>
      <c r="BK58" s="213">
        <f t="shared" si="23"/>
        <v>0</v>
      </c>
      <c r="BL58" s="213">
        <f t="shared" si="23"/>
        <v>0</v>
      </c>
      <c r="BM58" s="213">
        <f t="shared" si="23"/>
        <v>0</v>
      </c>
      <c r="BN58" s="213">
        <f t="shared" si="23"/>
        <v>0</v>
      </c>
      <c r="BO58" s="213">
        <f t="shared" si="23"/>
        <v>0</v>
      </c>
      <c r="BP58" s="213">
        <f t="shared" si="23"/>
        <v>0</v>
      </c>
      <c r="BQ58" s="213">
        <f t="shared" si="23"/>
        <v>0</v>
      </c>
      <c r="BR58" s="213">
        <f t="shared" si="23"/>
        <v>0</v>
      </c>
      <c r="BS58" s="213">
        <f t="shared" ref="BS58:DY58" si="24">+BS20-BS18-BS17-BS16-BS12-BS11-BS10-BS9-BS8</f>
        <v>0</v>
      </c>
      <c r="BT58" s="213">
        <f t="shared" si="24"/>
        <v>0</v>
      </c>
      <c r="BU58" s="213">
        <f t="shared" si="24"/>
        <v>0</v>
      </c>
      <c r="BV58" s="213">
        <f t="shared" si="24"/>
        <v>0</v>
      </c>
      <c r="BW58" s="213">
        <f t="shared" si="24"/>
        <v>0</v>
      </c>
      <c r="BX58" s="213">
        <f t="shared" si="24"/>
        <v>0</v>
      </c>
      <c r="BY58" s="213">
        <f t="shared" si="24"/>
        <v>0</v>
      </c>
      <c r="BZ58" s="213">
        <f t="shared" si="24"/>
        <v>0</v>
      </c>
      <c r="CA58" s="213">
        <f t="shared" si="24"/>
        <v>0</v>
      </c>
      <c r="CB58" s="213">
        <f t="shared" si="24"/>
        <v>0</v>
      </c>
      <c r="CC58" s="213">
        <f t="shared" si="24"/>
        <v>0</v>
      </c>
      <c r="CD58" s="213">
        <f t="shared" si="24"/>
        <v>0</v>
      </c>
      <c r="CE58" s="213">
        <f t="shared" si="24"/>
        <v>0</v>
      </c>
      <c r="CF58" s="213">
        <f t="shared" si="24"/>
        <v>0</v>
      </c>
      <c r="CG58" s="213">
        <f t="shared" si="24"/>
        <v>0</v>
      </c>
      <c r="CH58" s="213">
        <f t="shared" si="24"/>
        <v>0</v>
      </c>
      <c r="CI58" s="213">
        <f t="shared" si="24"/>
        <v>0</v>
      </c>
      <c r="CJ58" s="213">
        <f t="shared" si="24"/>
        <v>0</v>
      </c>
      <c r="CK58" s="213">
        <f t="shared" si="24"/>
        <v>0</v>
      </c>
      <c r="CL58" s="213">
        <f t="shared" si="24"/>
        <v>0</v>
      </c>
      <c r="CM58" s="213">
        <f t="shared" si="24"/>
        <v>0</v>
      </c>
      <c r="CN58" s="213">
        <f t="shared" si="24"/>
        <v>0</v>
      </c>
      <c r="CO58" s="213">
        <f t="shared" si="24"/>
        <v>0</v>
      </c>
      <c r="CP58" s="213">
        <f t="shared" si="24"/>
        <v>0</v>
      </c>
      <c r="CQ58" s="213">
        <f t="shared" si="24"/>
        <v>0</v>
      </c>
      <c r="CR58" s="213">
        <f t="shared" si="24"/>
        <v>0</v>
      </c>
      <c r="CS58" s="213">
        <f t="shared" si="24"/>
        <v>0</v>
      </c>
      <c r="CT58" s="213">
        <f t="shared" si="24"/>
        <v>0</v>
      </c>
      <c r="CU58" s="213">
        <f t="shared" si="24"/>
        <v>0</v>
      </c>
      <c r="CV58" s="213"/>
      <c r="CW58" s="213"/>
      <c r="CX58" s="213"/>
      <c r="CY58" s="213">
        <f t="shared" si="24"/>
        <v>0</v>
      </c>
      <c r="CZ58" s="213">
        <f t="shared" si="24"/>
        <v>0</v>
      </c>
      <c r="DA58" s="213">
        <f t="shared" si="24"/>
        <v>0</v>
      </c>
      <c r="DB58" s="213">
        <f t="shared" si="24"/>
        <v>0</v>
      </c>
      <c r="DC58" s="213">
        <f t="shared" si="24"/>
        <v>0</v>
      </c>
      <c r="DD58" s="213">
        <f t="shared" si="24"/>
        <v>0</v>
      </c>
      <c r="DE58" s="213">
        <f t="shared" si="24"/>
        <v>0</v>
      </c>
      <c r="DF58" s="213">
        <f t="shared" si="24"/>
        <v>0</v>
      </c>
      <c r="DG58" s="213">
        <f t="shared" si="24"/>
        <v>0</v>
      </c>
      <c r="DH58" s="213">
        <f t="shared" si="24"/>
        <v>0</v>
      </c>
      <c r="DI58" s="213">
        <f t="shared" si="24"/>
        <v>0</v>
      </c>
      <c r="DJ58" s="213">
        <f t="shared" si="24"/>
        <v>0</v>
      </c>
      <c r="DK58" s="213">
        <f t="shared" si="24"/>
        <v>0</v>
      </c>
      <c r="DL58" s="213">
        <f t="shared" si="24"/>
        <v>0</v>
      </c>
      <c r="DM58" s="213">
        <f t="shared" si="24"/>
        <v>0</v>
      </c>
      <c r="DN58" s="213">
        <f t="shared" si="24"/>
        <v>0</v>
      </c>
      <c r="DO58" s="213">
        <f t="shared" si="24"/>
        <v>0</v>
      </c>
      <c r="DP58" s="213">
        <f t="shared" si="24"/>
        <v>0</v>
      </c>
      <c r="DQ58" s="213">
        <f t="shared" si="24"/>
        <v>0</v>
      </c>
      <c r="DR58" s="213">
        <f t="shared" si="24"/>
        <v>0</v>
      </c>
      <c r="DS58" s="213">
        <f t="shared" si="24"/>
        <v>0</v>
      </c>
      <c r="DT58" s="213">
        <f t="shared" si="24"/>
        <v>0</v>
      </c>
      <c r="DU58" s="213">
        <f t="shared" si="24"/>
        <v>0</v>
      </c>
      <c r="DV58" s="213">
        <f>+DV20-DV18-DV17-DV16-DV12-DV11-DV10-DV9-DV8</f>
        <v>0</v>
      </c>
      <c r="DW58" s="213">
        <f t="shared" si="24"/>
        <v>0</v>
      </c>
      <c r="DX58" s="213">
        <f t="shared" si="24"/>
        <v>0</v>
      </c>
      <c r="DY58" s="213">
        <f t="shared" si="24"/>
        <v>0</v>
      </c>
      <c r="DZ58" s="213"/>
      <c r="EA58" s="213">
        <f>+EA20-EA18-EA17-EA16-EA10-EA11-EA12</f>
        <v>0</v>
      </c>
      <c r="EB58" s="213"/>
      <c r="EC58" s="213">
        <f>+EC20-EC18-EC17-EC16-EC10-EC11-EC12</f>
        <v>0</v>
      </c>
    </row>
    <row r="60" spans="1:133" x14ac:dyDescent="0.25">
      <c r="DV60" s="213">
        <f>+DV48-DV47-DV46</f>
        <v>0</v>
      </c>
    </row>
    <row r="61" spans="1:133" x14ac:dyDescent="0.25">
      <c r="A61" s="204"/>
      <c r="AW61" s="227" t="e">
        <f>+#REF!+#REF!+#REF!+#REF!+#REF!</f>
        <v>#REF!</v>
      </c>
      <c r="AX61" s="227"/>
      <c r="AY61" s="227"/>
      <c r="DV61" s="213">
        <f>+DV48-DV37-DV38</f>
        <v>0</v>
      </c>
    </row>
    <row r="62" spans="1:133" x14ac:dyDescent="0.25">
      <c r="F62" s="213">
        <f>+F15+F14+F13-F12</f>
        <v>0</v>
      </c>
      <c r="G62" s="213">
        <f t="shared" ref="G62:BR62" si="25">+G15+G14+G13-G12</f>
        <v>0</v>
      </c>
      <c r="H62" s="213">
        <f t="shared" si="25"/>
        <v>0</v>
      </c>
      <c r="I62" s="213">
        <f t="shared" si="25"/>
        <v>0</v>
      </c>
      <c r="J62" s="213">
        <f t="shared" si="25"/>
        <v>0</v>
      </c>
      <c r="K62" s="213">
        <f t="shared" si="25"/>
        <v>0</v>
      </c>
      <c r="L62" s="213">
        <f t="shared" si="25"/>
        <v>0</v>
      </c>
      <c r="M62" s="213">
        <f t="shared" si="25"/>
        <v>0</v>
      </c>
      <c r="N62" s="213">
        <f t="shared" si="25"/>
        <v>0</v>
      </c>
      <c r="O62" s="213">
        <f t="shared" si="25"/>
        <v>0</v>
      </c>
      <c r="P62" s="213">
        <f t="shared" si="25"/>
        <v>0</v>
      </c>
      <c r="Q62" s="213">
        <f t="shared" si="25"/>
        <v>0</v>
      </c>
      <c r="R62" s="213">
        <f t="shared" si="25"/>
        <v>0</v>
      </c>
      <c r="S62" s="213">
        <f t="shared" si="25"/>
        <v>0</v>
      </c>
      <c r="T62" s="213">
        <f t="shared" si="25"/>
        <v>0</v>
      </c>
      <c r="U62" s="213">
        <f t="shared" si="25"/>
        <v>0</v>
      </c>
      <c r="V62" s="213">
        <f t="shared" si="25"/>
        <v>0</v>
      </c>
      <c r="W62" s="213">
        <f t="shared" si="25"/>
        <v>0</v>
      </c>
      <c r="X62" s="213">
        <f t="shared" si="25"/>
        <v>0</v>
      </c>
      <c r="Y62" s="213">
        <f t="shared" si="25"/>
        <v>0</v>
      </c>
      <c r="Z62" s="213">
        <f t="shared" si="25"/>
        <v>0</v>
      </c>
      <c r="AA62" s="213">
        <f t="shared" si="25"/>
        <v>0</v>
      </c>
      <c r="AB62" s="213">
        <f t="shared" si="25"/>
        <v>0</v>
      </c>
      <c r="AC62" s="213">
        <f t="shared" si="25"/>
        <v>0</v>
      </c>
      <c r="AD62" s="213">
        <f t="shared" si="25"/>
        <v>0</v>
      </c>
      <c r="AE62" s="213">
        <f t="shared" si="25"/>
        <v>0</v>
      </c>
      <c r="AF62" s="213">
        <f t="shared" si="25"/>
        <v>0</v>
      </c>
      <c r="AG62" s="213">
        <f t="shared" si="25"/>
        <v>0</v>
      </c>
      <c r="AH62" s="213">
        <f t="shared" si="25"/>
        <v>0</v>
      </c>
      <c r="AI62" s="213">
        <f t="shared" si="25"/>
        <v>0</v>
      </c>
      <c r="AJ62" s="213">
        <f t="shared" si="25"/>
        <v>0</v>
      </c>
      <c r="AK62" s="213">
        <f t="shared" si="25"/>
        <v>0</v>
      </c>
      <c r="AL62" s="213">
        <f t="shared" si="25"/>
        <v>0</v>
      </c>
      <c r="AM62" s="213">
        <f t="shared" si="25"/>
        <v>0</v>
      </c>
      <c r="AN62" s="213">
        <f t="shared" si="25"/>
        <v>0</v>
      </c>
      <c r="AO62" s="213">
        <f t="shared" si="25"/>
        <v>0</v>
      </c>
      <c r="AP62" s="213">
        <f t="shared" si="25"/>
        <v>0</v>
      </c>
      <c r="AQ62" s="213">
        <f t="shared" si="25"/>
        <v>0</v>
      </c>
      <c r="AR62" s="213">
        <f t="shared" si="25"/>
        <v>0</v>
      </c>
      <c r="AS62" s="213">
        <f t="shared" si="25"/>
        <v>0</v>
      </c>
      <c r="AT62" s="213">
        <f t="shared" si="25"/>
        <v>0</v>
      </c>
      <c r="AU62" s="213">
        <f t="shared" si="25"/>
        <v>0</v>
      </c>
      <c r="AV62" s="213">
        <f t="shared" si="25"/>
        <v>0</v>
      </c>
      <c r="AW62" s="213">
        <f t="shared" si="25"/>
        <v>0</v>
      </c>
      <c r="AX62" s="213">
        <f t="shared" si="25"/>
        <v>0</v>
      </c>
      <c r="AY62" s="213">
        <f t="shared" si="25"/>
        <v>0</v>
      </c>
      <c r="AZ62" s="213">
        <f t="shared" si="25"/>
        <v>0</v>
      </c>
      <c r="BA62" s="213">
        <f t="shared" si="25"/>
        <v>0</v>
      </c>
      <c r="BB62" s="213">
        <f t="shared" si="25"/>
        <v>0</v>
      </c>
      <c r="BC62" s="213">
        <f t="shared" si="25"/>
        <v>0</v>
      </c>
      <c r="BD62" s="213">
        <f t="shared" si="25"/>
        <v>0</v>
      </c>
      <c r="BE62" s="213">
        <f t="shared" si="25"/>
        <v>0</v>
      </c>
      <c r="BF62" s="213">
        <f t="shared" si="25"/>
        <v>0</v>
      </c>
      <c r="BG62" s="213">
        <f t="shared" si="25"/>
        <v>0</v>
      </c>
      <c r="BH62" s="213">
        <f t="shared" si="25"/>
        <v>0</v>
      </c>
      <c r="BI62" s="213">
        <f t="shared" si="25"/>
        <v>0</v>
      </c>
      <c r="BJ62" s="213">
        <f t="shared" si="25"/>
        <v>0</v>
      </c>
      <c r="BK62" s="213">
        <f t="shared" si="25"/>
        <v>0</v>
      </c>
      <c r="BL62" s="213">
        <f t="shared" si="25"/>
        <v>0</v>
      </c>
      <c r="BM62" s="213">
        <f t="shared" si="25"/>
        <v>0</v>
      </c>
      <c r="BN62" s="213">
        <f t="shared" si="25"/>
        <v>0</v>
      </c>
      <c r="BO62" s="213">
        <f t="shared" si="25"/>
        <v>0</v>
      </c>
      <c r="BP62" s="213">
        <f t="shared" si="25"/>
        <v>0</v>
      </c>
      <c r="BQ62" s="213">
        <f t="shared" si="25"/>
        <v>0</v>
      </c>
      <c r="BR62" s="213">
        <f t="shared" si="25"/>
        <v>0</v>
      </c>
      <c r="BS62" s="213">
        <f t="shared" ref="BS62:DY62" si="26">+BS15+BS14+BS13-BS12</f>
        <v>0</v>
      </c>
      <c r="BT62" s="213">
        <f t="shared" si="26"/>
        <v>0</v>
      </c>
      <c r="BU62" s="213">
        <f t="shared" si="26"/>
        <v>0</v>
      </c>
      <c r="BV62" s="213">
        <f t="shared" si="26"/>
        <v>0</v>
      </c>
      <c r="BW62" s="213">
        <f t="shared" si="26"/>
        <v>0</v>
      </c>
      <c r="BX62" s="213">
        <f t="shared" si="26"/>
        <v>0</v>
      </c>
      <c r="BY62" s="213">
        <f t="shared" si="26"/>
        <v>0</v>
      </c>
      <c r="BZ62" s="213">
        <f t="shared" si="26"/>
        <v>0</v>
      </c>
      <c r="CA62" s="213">
        <f t="shared" si="26"/>
        <v>0</v>
      </c>
      <c r="CB62" s="213">
        <f t="shared" si="26"/>
        <v>0</v>
      </c>
      <c r="CC62" s="213">
        <f t="shared" si="26"/>
        <v>0</v>
      </c>
      <c r="CD62" s="213">
        <f t="shared" si="26"/>
        <v>0</v>
      </c>
      <c r="CE62" s="213">
        <f t="shared" si="26"/>
        <v>0</v>
      </c>
      <c r="CF62" s="213">
        <f t="shared" si="26"/>
        <v>0</v>
      </c>
      <c r="CG62" s="213">
        <f t="shared" si="26"/>
        <v>0</v>
      </c>
      <c r="CH62" s="213">
        <f t="shared" si="26"/>
        <v>0</v>
      </c>
      <c r="CI62" s="213">
        <f t="shared" si="26"/>
        <v>0</v>
      </c>
      <c r="CJ62" s="213">
        <f t="shared" si="26"/>
        <v>0</v>
      </c>
      <c r="CK62" s="213">
        <f t="shared" si="26"/>
        <v>0</v>
      </c>
      <c r="CL62" s="213">
        <f t="shared" si="26"/>
        <v>0</v>
      </c>
      <c r="CM62" s="213">
        <f t="shared" si="26"/>
        <v>0</v>
      </c>
      <c r="CN62" s="213">
        <f t="shared" si="26"/>
        <v>0</v>
      </c>
      <c r="CO62" s="213">
        <f t="shared" si="26"/>
        <v>0</v>
      </c>
      <c r="CP62" s="213">
        <f t="shared" si="26"/>
        <v>0</v>
      </c>
      <c r="CQ62" s="213">
        <f t="shared" si="26"/>
        <v>0</v>
      </c>
      <c r="CR62" s="213">
        <f t="shared" si="26"/>
        <v>0</v>
      </c>
      <c r="CS62" s="213">
        <f t="shared" si="26"/>
        <v>0</v>
      </c>
      <c r="CT62" s="213">
        <f t="shared" si="26"/>
        <v>0</v>
      </c>
      <c r="CU62" s="213">
        <f t="shared" si="26"/>
        <v>0</v>
      </c>
      <c r="CV62" s="213">
        <f t="shared" si="26"/>
        <v>0</v>
      </c>
      <c r="CW62" s="213">
        <f t="shared" si="26"/>
        <v>0</v>
      </c>
      <c r="CX62" s="213">
        <f t="shared" si="26"/>
        <v>0</v>
      </c>
      <c r="CY62" s="213">
        <f t="shared" si="26"/>
        <v>0</v>
      </c>
      <c r="CZ62" s="213">
        <f t="shared" si="26"/>
        <v>0</v>
      </c>
      <c r="DA62" s="213">
        <f t="shared" si="26"/>
        <v>0</v>
      </c>
      <c r="DB62" s="213">
        <f t="shared" si="26"/>
        <v>0</v>
      </c>
      <c r="DC62" s="213">
        <f t="shared" si="26"/>
        <v>0</v>
      </c>
      <c r="DD62" s="213">
        <f t="shared" si="26"/>
        <v>0</v>
      </c>
      <c r="DE62" s="213">
        <f t="shared" si="26"/>
        <v>0</v>
      </c>
      <c r="DF62" s="213">
        <f t="shared" si="26"/>
        <v>0</v>
      </c>
      <c r="DG62" s="213">
        <f t="shared" si="26"/>
        <v>0</v>
      </c>
      <c r="DH62" s="213">
        <f t="shared" si="26"/>
        <v>0</v>
      </c>
      <c r="DI62" s="213">
        <f t="shared" si="26"/>
        <v>0</v>
      </c>
      <c r="DJ62" s="213">
        <f t="shared" si="26"/>
        <v>0</v>
      </c>
      <c r="DK62" s="213">
        <f t="shared" si="26"/>
        <v>0</v>
      </c>
      <c r="DL62" s="213">
        <f t="shared" si="26"/>
        <v>0</v>
      </c>
      <c r="DM62" s="213">
        <f t="shared" si="26"/>
        <v>0</v>
      </c>
      <c r="DN62" s="213">
        <f t="shared" si="26"/>
        <v>0</v>
      </c>
      <c r="DO62" s="213">
        <f t="shared" si="26"/>
        <v>0</v>
      </c>
      <c r="DP62" s="213">
        <f t="shared" si="26"/>
        <v>0</v>
      </c>
      <c r="DQ62" s="213">
        <f t="shared" si="26"/>
        <v>0</v>
      </c>
      <c r="DR62" s="213">
        <f t="shared" si="26"/>
        <v>0</v>
      </c>
      <c r="DS62" s="213">
        <f t="shared" si="26"/>
        <v>0</v>
      </c>
      <c r="DT62" s="213">
        <f t="shared" si="26"/>
        <v>0</v>
      </c>
      <c r="DU62" s="213">
        <f t="shared" si="26"/>
        <v>0</v>
      </c>
      <c r="DV62" s="213">
        <f t="shared" si="26"/>
        <v>0</v>
      </c>
      <c r="DW62" s="213">
        <f t="shared" si="26"/>
        <v>0</v>
      </c>
      <c r="DX62" s="213">
        <f t="shared" si="26"/>
        <v>0</v>
      </c>
      <c r="DY62" s="213">
        <f t="shared" si="26"/>
        <v>0</v>
      </c>
    </row>
  </sheetData>
  <mergeCells count="121">
    <mergeCell ref="CV3:CX3"/>
    <mergeCell ref="CV4:CX4"/>
    <mergeCell ref="CV5:CX6"/>
    <mergeCell ref="DB4:DD4"/>
    <mergeCell ref="DE4:DG4"/>
    <mergeCell ref="DH4:DJ4"/>
    <mergeCell ref="CG4:CI4"/>
    <mergeCell ref="CJ4:CL4"/>
    <mergeCell ref="CM4:CO4"/>
    <mergeCell ref="CP4:CR4"/>
    <mergeCell ref="CS4:CU4"/>
    <mergeCell ref="CG5:CI6"/>
    <mergeCell ref="CJ5:CL6"/>
    <mergeCell ref="CM5:CO6"/>
    <mergeCell ref="CP5:CR6"/>
    <mergeCell ref="CS5:CU6"/>
    <mergeCell ref="CY5:DA6"/>
    <mergeCell ref="BX4:BZ4"/>
    <mergeCell ref="CA4:CC4"/>
    <mergeCell ref="CD4:CF4"/>
    <mergeCell ref="BC4:BE4"/>
    <mergeCell ref="BF4:BH4"/>
    <mergeCell ref="BI4:BK4"/>
    <mergeCell ref="BL4:BN4"/>
    <mergeCell ref="BO4:BQ4"/>
    <mergeCell ref="CY4:DA4"/>
    <mergeCell ref="AT4:AV4"/>
    <mergeCell ref="AW4:AY4"/>
    <mergeCell ref="AZ4:BB4"/>
    <mergeCell ref="DN4:DP6"/>
    <mergeCell ref="DQ4:DS6"/>
    <mergeCell ref="DT4:DV6"/>
    <mergeCell ref="D4:F4"/>
    <mergeCell ref="G4:I4"/>
    <mergeCell ref="J4:L4"/>
    <mergeCell ref="M4:O4"/>
    <mergeCell ref="P4:R4"/>
    <mergeCell ref="S4:U4"/>
    <mergeCell ref="V4:X4"/>
    <mergeCell ref="Y4:AA4"/>
    <mergeCell ref="AB4:AD4"/>
    <mergeCell ref="AE4:AG4"/>
    <mergeCell ref="AH4:AJ4"/>
    <mergeCell ref="AK4:AM4"/>
    <mergeCell ref="DB5:DD6"/>
    <mergeCell ref="DE5:DG6"/>
    <mergeCell ref="DH5:DJ6"/>
    <mergeCell ref="DK4:DM6"/>
    <mergeCell ref="BR4:BT4"/>
    <mergeCell ref="BU4:BW4"/>
    <mergeCell ref="DQ3:DV3"/>
    <mergeCell ref="DW3:DY6"/>
    <mergeCell ref="D5:F6"/>
    <mergeCell ref="G5:I6"/>
    <mergeCell ref="J5:L6"/>
    <mergeCell ref="M5:O6"/>
    <mergeCell ref="P5:R6"/>
    <mergeCell ref="S5:U6"/>
    <mergeCell ref="V5:X6"/>
    <mergeCell ref="Y5:AA6"/>
    <mergeCell ref="AB5:AD6"/>
    <mergeCell ref="AE5:AG6"/>
    <mergeCell ref="DB3:DD3"/>
    <mergeCell ref="DE3:DG3"/>
    <mergeCell ref="DH3:DJ3"/>
    <mergeCell ref="DK3:DP3"/>
    <mergeCell ref="CJ3:CL3"/>
    <mergeCell ref="CM3:CO3"/>
    <mergeCell ref="CP3:CR3"/>
    <mergeCell ref="CS3:CU3"/>
    <mergeCell ref="CY3:DA3"/>
    <mergeCell ref="BU3:BW3"/>
    <mergeCell ref="BX3:BZ3"/>
    <mergeCell ref="CA3:CC3"/>
    <mergeCell ref="CD3:CF3"/>
    <mergeCell ref="CG3:CI3"/>
    <mergeCell ref="BI3:BK3"/>
    <mergeCell ref="BL3:BN3"/>
    <mergeCell ref="BO3:BQ3"/>
    <mergeCell ref="BR3:BT3"/>
    <mergeCell ref="AT3:AV3"/>
    <mergeCell ref="AW3:AY3"/>
    <mergeCell ref="AZ3:BB3"/>
    <mergeCell ref="BC3:BE3"/>
    <mergeCell ref="BF3:BH3"/>
    <mergeCell ref="AE3:AG3"/>
    <mergeCell ref="AH3:AJ3"/>
    <mergeCell ref="AK3:AM3"/>
    <mergeCell ref="AN3:AP3"/>
    <mergeCell ref="AQ3:AS3"/>
    <mergeCell ref="B5:C5"/>
    <mergeCell ref="A2:C2"/>
    <mergeCell ref="A3:A6"/>
    <mergeCell ref="B3:C3"/>
    <mergeCell ref="B4:C4"/>
    <mergeCell ref="D3:F3"/>
    <mergeCell ref="G3:I3"/>
    <mergeCell ref="J3:L3"/>
    <mergeCell ref="M3:O3"/>
    <mergeCell ref="P3:R3"/>
    <mergeCell ref="S3:U3"/>
    <mergeCell ref="V3:X3"/>
    <mergeCell ref="Y3:AA3"/>
    <mergeCell ref="AB3:AD3"/>
    <mergeCell ref="AQ5:AS6"/>
    <mergeCell ref="AN4:AP4"/>
    <mergeCell ref="AQ4:AS4"/>
    <mergeCell ref="AH5:AJ6"/>
    <mergeCell ref="AK5:AM6"/>
    <mergeCell ref="AN5:AP6"/>
    <mergeCell ref="BR5:BT6"/>
    <mergeCell ref="BU5:BW6"/>
    <mergeCell ref="BX5:BZ6"/>
    <mergeCell ref="CA5:CC6"/>
    <mergeCell ref="CD5:CF6"/>
    <mergeCell ref="BC5:BE6"/>
    <mergeCell ref="BF5:BK6"/>
    <mergeCell ref="BL5:BQ6"/>
    <mergeCell ref="AT5:AV6"/>
    <mergeCell ref="AW5:AY6"/>
    <mergeCell ref="AZ5:BB6"/>
  </mergeCells>
  <printOptions horizontalCentered="1" verticalCentered="1"/>
  <pageMargins left="0.19685039370078741" right="0.19685039370078741" top="0" bottom="0" header="0.51181102362204722" footer="0.51181102362204722"/>
  <pageSetup paperSize="9" scale="41" fitToHeight="0" orientation="portrait" r:id="rId1"/>
  <headerFooter alignWithMargins="0">
    <oddHeader>&amp;C2022. évi zárszámadás&amp;R&amp;A</oddHeader>
    <oddFooter>&amp;C&amp;P/&amp;N</oddFooter>
  </headerFooter>
  <colBreaks count="21" manualBreakCount="21">
    <brk id="9" max="49" man="1"/>
    <brk id="15" max="49" man="1"/>
    <brk id="21" max="49" man="1"/>
    <brk id="27" max="49" man="1"/>
    <brk id="33" max="49" man="1"/>
    <brk id="39" max="49" man="1"/>
    <brk id="45" max="49" man="1"/>
    <brk id="51" max="49" man="1"/>
    <brk id="57" max="49" man="1"/>
    <brk id="63" max="49" man="1"/>
    <brk id="69" max="49" man="1"/>
    <brk id="75" max="49" man="1"/>
    <brk id="81" max="49" man="1"/>
    <brk id="87" max="49" man="1"/>
    <brk id="93" max="49" man="1"/>
    <brk id="99" max="49" man="1"/>
    <brk id="105" max="49" man="1"/>
    <brk id="111" max="49" man="1"/>
    <brk id="114" max="49" man="1"/>
    <brk id="120" max="49" man="1"/>
    <brk id="126" max="4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sheetPr>
  <dimension ref="A1:R22"/>
  <sheetViews>
    <sheetView zoomScale="90" zoomScaleNormal="90" zoomScaleSheetLayoutView="90" workbookViewId="0">
      <selection activeCell="J20" sqref="J20"/>
    </sheetView>
  </sheetViews>
  <sheetFormatPr defaultColWidth="9.140625" defaultRowHeight="12.75" x14ac:dyDescent="0.2"/>
  <cols>
    <col min="1" max="1" width="4.5703125" style="8" customWidth="1"/>
    <col min="2" max="2" width="5.42578125" style="8" customWidth="1"/>
    <col min="3" max="3" width="51.42578125" style="8" customWidth="1"/>
    <col min="4" max="6" width="21" style="8" customWidth="1"/>
    <col min="7" max="9" width="18.85546875" style="8" customWidth="1"/>
    <col min="10" max="10" width="14.5703125" style="8" customWidth="1"/>
    <col min="11" max="11" width="20" style="8" customWidth="1"/>
    <col min="12" max="12" width="9.140625" style="8"/>
    <col min="13" max="13" width="17" style="8" bestFit="1" customWidth="1"/>
    <col min="14" max="15" width="14.28515625" style="8" bestFit="1" customWidth="1"/>
    <col min="16" max="16" width="11.7109375" style="8" bestFit="1" customWidth="1"/>
    <col min="17" max="17" width="14.140625" style="8" bestFit="1" customWidth="1"/>
    <col min="18" max="18" width="12" style="8" bestFit="1" customWidth="1"/>
    <col min="19" max="16384" width="9.140625" style="8"/>
  </cols>
  <sheetData>
    <row r="1" spans="1:18" ht="27.75" customHeight="1" x14ac:dyDescent="0.2">
      <c r="A1" s="1257" t="s">
        <v>175</v>
      </c>
      <c r="B1" s="1257"/>
      <c r="C1" s="1257"/>
      <c r="D1" s="1257"/>
      <c r="E1" s="1257"/>
      <c r="F1" s="1257"/>
      <c r="G1" s="1257"/>
      <c r="H1" s="1257"/>
      <c r="I1" s="1257"/>
      <c r="J1" s="1257"/>
    </row>
    <row r="2" spans="1:18" ht="25.5" customHeight="1" x14ac:dyDescent="0.2">
      <c r="A2" s="1258"/>
      <c r="B2" s="1258"/>
      <c r="C2" s="1258"/>
      <c r="D2" s="1258"/>
      <c r="E2" s="1258"/>
      <c r="F2" s="1258"/>
      <c r="G2" s="1258"/>
      <c r="H2" s="1258"/>
      <c r="I2" s="1258"/>
      <c r="J2" s="1258"/>
    </row>
    <row r="3" spans="1:18" ht="18.75" customHeight="1" x14ac:dyDescent="0.2">
      <c r="A3" s="257"/>
      <c r="B3" s="257"/>
      <c r="C3" s="257"/>
      <c r="D3" s="257"/>
      <c r="E3" s="257"/>
      <c r="F3" s="257"/>
      <c r="G3" s="257"/>
      <c r="H3" s="257"/>
      <c r="I3" s="257"/>
      <c r="J3" s="516" t="s">
        <v>415</v>
      </c>
    </row>
    <row r="4" spans="1:18" ht="29.25" customHeight="1" x14ac:dyDescent="0.2">
      <c r="A4" s="1259" t="s">
        <v>357</v>
      </c>
      <c r="B4" s="1259" t="s">
        <v>647</v>
      </c>
      <c r="C4" s="1223" t="s">
        <v>2</v>
      </c>
      <c r="D4" s="1262" t="s">
        <v>685</v>
      </c>
      <c r="E4" s="1263"/>
      <c r="F4" s="1263"/>
      <c r="G4" s="1263"/>
      <c r="H4" s="1263"/>
      <c r="I4" s="1264"/>
      <c r="J4" s="1254" t="s">
        <v>11</v>
      </c>
    </row>
    <row r="5" spans="1:18" ht="33" customHeight="1" x14ac:dyDescent="0.2">
      <c r="A5" s="1260"/>
      <c r="B5" s="1260"/>
      <c r="C5" s="1224"/>
      <c r="D5" s="611" t="s">
        <v>274</v>
      </c>
      <c r="E5" s="353" t="s">
        <v>1074</v>
      </c>
      <c r="F5" s="610" t="s">
        <v>1546</v>
      </c>
      <c r="G5" s="611" t="s">
        <v>274</v>
      </c>
      <c r="H5" s="353" t="s">
        <v>1074</v>
      </c>
      <c r="I5" s="610" t="s">
        <v>1546</v>
      </c>
      <c r="J5" s="1254"/>
    </row>
    <row r="6" spans="1:18" ht="27.75" customHeight="1" x14ac:dyDescent="0.2">
      <c r="A6" s="1261"/>
      <c r="B6" s="1261"/>
      <c r="C6" s="1225"/>
      <c r="D6" s="1262" t="s">
        <v>84</v>
      </c>
      <c r="E6" s="1263"/>
      <c r="F6" s="1264"/>
      <c r="G6" s="1262" t="s">
        <v>85</v>
      </c>
      <c r="H6" s="1263"/>
      <c r="I6" s="1264"/>
      <c r="J6" s="1254"/>
      <c r="K6" s="107" t="s">
        <v>115</v>
      </c>
    </row>
    <row r="7" spans="1:18" ht="32.25" customHeight="1" x14ac:dyDescent="0.2">
      <c r="A7" s="53" t="s">
        <v>191</v>
      </c>
      <c r="B7" s="147" t="s">
        <v>503</v>
      </c>
      <c r="C7" s="74" t="s">
        <v>86</v>
      </c>
      <c r="D7" s="75">
        <f>+'2.1. sz. PMH'!D43</f>
        <v>843195377</v>
      </c>
      <c r="E7" s="75">
        <f>+'2.1. sz. PMH'!E43</f>
        <v>892153142</v>
      </c>
      <c r="F7" s="414">
        <f>+'2.1. sz. PMH'!F43</f>
        <v>771578126</v>
      </c>
      <c r="G7" s="411">
        <f>+'2.1. sz. PMH'!D44</f>
        <v>38949100</v>
      </c>
      <c r="H7" s="75">
        <f>+'2.1. sz. PMH'!E44</f>
        <v>59657432</v>
      </c>
      <c r="I7" s="657">
        <f>+H7</f>
        <v>59657432</v>
      </c>
      <c r="J7" s="78" t="s">
        <v>225</v>
      </c>
      <c r="K7" s="108">
        <f t="shared" ref="K7:K16" si="0">D7+G7</f>
        <v>882144477</v>
      </c>
      <c r="M7" s="195">
        <v>550468645</v>
      </c>
      <c r="N7" s="8">
        <v>9866400</v>
      </c>
      <c r="O7" s="13">
        <f t="shared" ref="O7:O15" si="1">+D7-M7</f>
        <v>292726732</v>
      </c>
      <c r="P7" s="13">
        <f t="shared" ref="P7:P15" si="2">+G7-N7</f>
        <v>29082700</v>
      </c>
      <c r="Q7" s="264">
        <f>SUM(O7:P7)</f>
        <v>321809432</v>
      </c>
    </row>
    <row r="8" spans="1:18" ht="32.25" customHeight="1" x14ac:dyDescent="0.2">
      <c r="A8" s="54" t="s">
        <v>192</v>
      </c>
      <c r="B8" s="132" t="s">
        <v>503</v>
      </c>
      <c r="C8" s="72" t="s">
        <v>23</v>
      </c>
      <c r="D8" s="76">
        <f>+'2.4. sz. Bölcsőde'!D43</f>
        <v>410984434</v>
      </c>
      <c r="E8" s="76">
        <f>+'2.4. sz. Bölcsőde'!E43</f>
        <v>418342134</v>
      </c>
      <c r="F8" s="415">
        <f>+'2.4. sz. Bölcsőde'!F43</f>
        <v>366810715</v>
      </c>
      <c r="G8" s="412">
        <f>+'2.4. sz. Bölcsőde'!D44</f>
        <v>1874520</v>
      </c>
      <c r="H8" s="76">
        <f>+'2.4. sz. Bölcsőde'!E44</f>
        <v>5502468</v>
      </c>
      <c r="I8" s="657">
        <f t="shared" ref="I8:I15" si="3">+H8</f>
        <v>5502468</v>
      </c>
      <c r="J8" s="79" t="s">
        <v>225</v>
      </c>
      <c r="K8" s="108">
        <f t="shared" si="0"/>
        <v>412858954</v>
      </c>
      <c r="M8" s="195">
        <v>261191032</v>
      </c>
      <c r="N8" s="8">
        <v>1905000</v>
      </c>
      <c r="O8" s="13">
        <f t="shared" si="1"/>
        <v>149793402</v>
      </c>
      <c r="P8" s="13">
        <f t="shared" si="2"/>
        <v>-30480</v>
      </c>
      <c r="Q8" s="264">
        <f t="shared" ref="Q8:Q15" si="4">SUM(O8:P8)</f>
        <v>149762922</v>
      </c>
    </row>
    <row r="9" spans="1:18" ht="32.25" customHeight="1" x14ac:dyDescent="0.2">
      <c r="A9" s="54" t="s">
        <v>193</v>
      </c>
      <c r="B9" s="132" t="s">
        <v>503</v>
      </c>
      <c r="C9" s="72" t="s">
        <v>87</v>
      </c>
      <c r="D9" s="76">
        <f>+'2.3. sz. Mese Óvoda'!D43</f>
        <v>513495470</v>
      </c>
      <c r="E9" s="76">
        <f>+'2.3. sz. Mese Óvoda'!E43</f>
        <v>536956939</v>
      </c>
      <c r="F9" s="415">
        <f>+'2.3. sz. Mese Óvoda'!F43</f>
        <v>470150992</v>
      </c>
      <c r="G9" s="412">
        <f>+'2.3. sz. Mese Óvoda'!D44</f>
        <v>1682420</v>
      </c>
      <c r="H9" s="76">
        <f>+'2.3. sz. Mese Óvoda'!E44</f>
        <v>5456187</v>
      </c>
      <c r="I9" s="657">
        <f t="shared" si="3"/>
        <v>5456187</v>
      </c>
      <c r="J9" s="79" t="s">
        <v>225</v>
      </c>
      <c r="K9" s="108">
        <f t="shared" si="0"/>
        <v>515177890</v>
      </c>
      <c r="M9" s="195">
        <v>376932032</v>
      </c>
      <c r="N9" s="8">
        <v>1200000</v>
      </c>
      <c r="O9" s="13">
        <f t="shared" si="1"/>
        <v>136563438</v>
      </c>
      <c r="P9" s="13">
        <f t="shared" si="2"/>
        <v>482420</v>
      </c>
      <c r="Q9" s="264">
        <f t="shared" si="4"/>
        <v>137045858</v>
      </c>
    </row>
    <row r="10" spans="1:18" ht="32.25" customHeight="1" x14ac:dyDescent="0.2">
      <c r="A10" s="54" t="s">
        <v>194</v>
      </c>
      <c r="B10" s="132" t="s">
        <v>503</v>
      </c>
      <c r="C10" s="72" t="s">
        <v>24</v>
      </c>
      <c r="D10" s="76">
        <f>+'2.2. sz. Hétszínvirág Óvoda'!D43</f>
        <v>340353030</v>
      </c>
      <c r="E10" s="76">
        <f>+'2.2. sz. Hétszínvirág Óvoda'!E43</f>
        <v>359397877</v>
      </c>
      <c r="F10" s="415">
        <f>+'2.2. sz. Hétszínvirág Óvoda'!F43</f>
        <v>327920014</v>
      </c>
      <c r="G10" s="412">
        <f>+'2.2. sz. Hétszínvirág Óvoda'!D44</f>
        <v>1442720</v>
      </c>
      <c r="H10" s="76">
        <f>+'2.2. sz. Hétszínvirág Óvoda'!E44</f>
        <v>7044524</v>
      </c>
      <c r="I10" s="657">
        <f t="shared" si="3"/>
        <v>7044524</v>
      </c>
      <c r="J10" s="79" t="s">
        <v>225</v>
      </c>
      <c r="K10" s="108">
        <f t="shared" si="0"/>
        <v>341795750</v>
      </c>
      <c r="M10" s="195">
        <v>249214235</v>
      </c>
      <c r="N10" s="8">
        <v>500000</v>
      </c>
      <c r="O10" s="13">
        <f t="shared" si="1"/>
        <v>91138795</v>
      </c>
      <c r="P10" s="13">
        <f t="shared" si="2"/>
        <v>942720</v>
      </c>
      <c r="Q10" s="264">
        <f t="shared" si="4"/>
        <v>92081515</v>
      </c>
    </row>
    <row r="11" spans="1:18" ht="32.25" customHeight="1" x14ac:dyDescent="0.2">
      <c r="A11" s="54" t="s">
        <v>195</v>
      </c>
      <c r="B11" s="132" t="s">
        <v>503</v>
      </c>
      <c r="C11" s="72" t="s">
        <v>565</v>
      </c>
      <c r="D11" s="76">
        <f>+'2.9. sz. Szivárvány Ó.'!Y43</f>
        <v>320195704</v>
      </c>
      <c r="E11" s="76">
        <f>+'2.9. sz. Szivárvány Ó.'!Z43</f>
        <v>336746886</v>
      </c>
      <c r="F11" s="415">
        <f>+'2.9. sz. Szivárvány Ó.'!F43</f>
        <v>291158662</v>
      </c>
      <c r="G11" s="412">
        <f>+'2.9. sz. Szivárvány Ó.'!Y44</f>
        <v>985520</v>
      </c>
      <c r="H11" s="76">
        <f>+'2.9. sz. Szivárvány Ó.'!Z44</f>
        <v>3284062</v>
      </c>
      <c r="I11" s="657">
        <f t="shared" si="3"/>
        <v>3284062</v>
      </c>
      <c r="J11" s="79" t="s">
        <v>225</v>
      </c>
      <c r="K11" s="108">
        <f t="shared" si="0"/>
        <v>321181224</v>
      </c>
      <c r="M11" s="195">
        <v>212517839</v>
      </c>
      <c r="N11" s="8">
        <v>1524000</v>
      </c>
      <c r="O11" s="13">
        <f t="shared" si="1"/>
        <v>107677865</v>
      </c>
      <c r="P11" s="13">
        <f t="shared" si="2"/>
        <v>-538480</v>
      </c>
      <c r="Q11" s="264">
        <f t="shared" si="4"/>
        <v>107139385</v>
      </c>
    </row>
    <row r="12" spans="1:18" ht="32.25" customHeight="1" x14ac:dyDescent="0.2">
      <c r="A12" s="54" t="s">
        <v>196</v>
      </c>
      <c r="B12" s="132" t="s">
        <v>503</v>
      </c>
      <c r="C12" s="72" t="s">
        <v>25</v>
      </c>
      <c r="D12" s="76">
        <f>+'2.6 sz. Területi'!BI43</f>
        <v>781952551</v>
      </c>
      <c r="E12" s="76">
        <f>+'2.6 sz. Területi'!BJ43</f>
        <v>809984795</v>
      </c>
      <c r="F12" s="415">
        <f>+'2.6 sz. Területi'!F43</f>
        <v>627557121</v>
      </c>
      <c r="G12" s="412">
        <f>+'2.6 sz. Területi'!BI44</f>
        <v>10016490</v>
      </c>
      <c r="H12" s="76">
        <f>+'2.6 sz. Területi'!BJ44</f>
        <v>8689208</v>
      </c>
      <c r="I12" s="657">
        <f t="shared" si="3"/>
        <v>8689208</v>
      </c>
      <c r="J12" s="79" t="s">
        <v>225</v>
      </c>
      <c r="K12" s="108">
        <f t="shared" si="0"/>
        <v>791969041</v>
      </c>
      <c r="M12" s="195">
        <v>451635638</v>
      </c>
      <c r="N12" s="8">
        <v>44995400</v>
      </c>
      <c r="O12" s="13">
        <f t="shared" si="1"/>
        <v>330316913</v>
      </c>
      <c r="P12" s="13">
        <f t="shared" si="2"/>
        <v>-34978910</v>
      </c>
      <c r="Q12" s="264">
        <f t="shared" si="4"/>
        <v>295338003</v>
      </c>
      <c r="R12" s="264">
        <f>+Q12-5611106-500000</f>
        <v>289226897</v>
      </c>
    </row>
    <row r="13" spans="1:18" ht="32.25" customHeight="1" x14ac:dyDescent="0.2">
      <c r="A13" s="54" t="s">
        <v>197</v>
      </c>
      <c r="B13" s="132" t="s">
        <v>503</v>
      </c>
      <c r="C13" s="72" t="s">
        <v>579</v>
      </c>
      <c r="D13" s="76">
        <f>+'2.7. sz. Könyvtár'!D43</f>
        <v>78745145</v>
      </c>
      <c r="E13" s="76">
        <f>+'2.7. sz. Könyvtár'!E43</f>
        <v>90180221</v>
      </c>
      <c r="F13" s="415">
        <f>+'2.7. sz. Könyvtár'!F43</f>
        <v>77223073</v>
      </c>
      <c r="G13" s="412">
        <f>+'2.7. sz. Könyvtár'!D44</f>
        <v>2222500</v>
      </c>
      <c r="H13" s="76">
        <f>+'2.7. sz. Könyvtár'!E44</f>
        <v>2654007</v>
      </c>
      <c r="I13" s="657">
        <f t="shared" si="3"/>
        <v>2654007</v>
      </c>
      <c r="J13" s="79" t="s">
        <v>225</v>
      </c>
      <c r="K13" s="108">
        <f t="shared" si="0"/>
        <v>80967645</v>
      </c>
      <c r="M13" s="195">
        <v>43832055</v>
      </c>
      <c r="N13" s="8">
        <v>717500</v>
      </c>
      <c r="O13" s="13">
        <f t="shared" si="1"/>
        <v>34913090</v>
      </c>
      <c r="P13" s="13">
        <f t="shared" si="2"/>
        <v>1505000</v>
      </c>
      <c r="Q13" s="264">
        <f t="shared" si="4"/>
        <v>36418090</v>
      </c>
    </row>
    <row r="14" spans="1:18" ht="32.25" customHeight="1" x14ac:dyDescent="0.2">
      <c r="A14" s="54" t="s">
        <v>198</v>
      </c>
      <c r="B14" s="132" t="s">
        <v>503</v>
      </c>
      <c r="C14" s="72" t="s">
        <v>566</v>
      </c>
      <c r="D14" s="76">
        <f>+'2.8. sz. Műv.Ház'!AB43</f>
        <v>129575838</v>
      </c>
      <c r="E14" s="76">
        <f>+'2.8. sz. Műv.Ház'!AC43</f>
        <v>141824388</v>
      </c>
      <c r="F14" s="415">
        <f>+'2.8. sz. Műv.Ház'!F43</f>
        <v>111846906</v>
      </c>
      <c r="G14" s="412">
        <f>+'2.8. sz. Műv.Ház'!AB44</f>
        <v>3257550</v>
      </c>
      <c r="H14" s="76">
        <f>+'2.8. sz. Műv.Ház'!AC44</f>
        <v>4362450</v>
      </c>
      <c r="I14" s="657">
        <f t="shared" si="3"/>
        <v>4362450</v>
      </c>
      <c r="J14" s="79" t="s">
        <v>225</v>
      </c>
      <c r="K14" s="108">
        <f t="shared" si="0"/>
        <v>132833388</v>
      </c>
      <c r="M14" s="195">
        <v>76579711</v>
      </c>
      <c r="N14" s="8">
        <v>1127000</v>
      </c>
      <c r="O14" s="13">
        <f t="shared" si="1"/>
        <v>52996127</v>
      </c>
      <c r="P14" s="13">
        <f t="shared" si="2"/>
        <v>2130550</v>
      </c>
      <c r="Q14" s="264">
        <f t="shared" si="4"/>
        <v>55126677</v>
      </c>
    </row>
    <row r="15" spans="1:18" ht="32.25" customHeight="1" x14ac:dyDescent="0.2">
      <c r="A15" s="138" t="s">
        <v>199</v>
      </c>
      <c r="B15" s="324" t="s">
        <v>503</v>
      </c>
      <c r="C15" s="73" t="s">
        <v>88</v>
      </c>
      <c r="D15" s="77">
        <f>+'2.5. sz. Gyermekjóléti'!D43</f>
        <v>95012674</v>
      </c>
      <c r="E15" s="77">
        <f>+'2.5. sz. Gyermekjóléti'!E43</f>
        <v>100660559</v>
      </c>
      <c r="F15" s="416">
        <f>+'2.5. sz. Gyermekjóléti'!F43</f>
        <v>80013339</v>
      </c>
      <c r="G15" s="413">
        <f>+'2.5. sz. Gyermekjóléti'!D44</f>
        <v>1851000</v>
      </c>
      <c r="H15" s="77">
        <f>+'2.5. sz. Gyermekjóléti'!E44</f>
        <v>1851000</v>
      </c>
      <c r="I15" s="657">
        <f t="shared" si="3"/>
        <v>1851000</v>
      </c>
      <c r="J15" s="11" t="s">
        <v>225</v>
      </c>
      <c r="K15" s="108">
        <f t="shared" si="0"/>
        <v>96863674</v>
      </c>
      <c r="M15" s="195">
        <v>71477558</v>
      </c>
      <c r="N15" s="8">
        <v>927000</v>
      </c>
      <c r="O15" s="13">
        <f t="shared" si="1"/>
        <v>23535116</v>
      </c>
      <c r="P15" s="13">
        <f t="shared" si="2"/>
        <v>924000</v>
      </c>
      <c r="Q15" s="264">
        <f t="shared" si="4"/>
        <v>24459116</v>
      </c>
    </row>
    <row r="16" spans="1:18" s="10" customFormat="1" ht="32.25" customHeight="1" x14ac:dyDescent="0.25">
      <c r="A16" s="1255" t="s">
        <v>89</v>
      </c>
      <c r="B16" s="1256"/>
      <c r="C16" s="1256"/>
      <c r="D16" s="417">
        <f t="shared" ref="D16:I16" si="5">SUM(D7:D15)</f>
        <v>3513510223</v>
      </c>
      <c r="E16" s="417">
        <f t="shared" si="5"/>
        <v>3686246941</v>
      </c>
      <c r="F16" s="598">
        <f t="shared" si="5"/>
        <v>3124258948</v>
      </c>
      <c r="G16" s="597">
        <f t="shared" si="5"/>
        <v>62281820</v>
      </c>
      <c r="H16" s="417">
        <f t="shared" si="5"/>
        <v>98501338</v>
      </c>
      <c r="I16" s="417">
        <f t="shared" si="5"/>
        <v>98501338</v>
      </c>
      <c r="J16" s="418"/>
      <c r="K16" s="109">
        <f t="shared" si="0"/>
        <v>3575792043</v>
      </c>
      <c r="M16" s="194">
        <f>SUM(M7:M15)</f>
        <v>2293848745</v>
      </c>
      <c r="N16" s="194">
        <f>SUM(N7:N15)</f>
        <v>62762300</v>
      </c>
      <c r="O16" s="194">
        <f>SUM(O7:O15)</f>
        <v>1219661478</v>
      </c>
      <c r="P16" s="194">
        <f>SUM(P7:P15)</f>
        <v>-480480</v>
      </c>
      <c r="Q16" s="194">
        <f>SUM(Q7:Q15)</f>
        <v>1219180998</v>
      </c>
    </row>
    <row r="17" spans="4:11" x14ac:dyDescent="0.2">
      <c r="K17" s="13"/>
    </row>
    <row r="19" spans="4:11" x14ac:dyDescent="0.2">
      <c r="G19" s="13">
        <f>+D16+G16</f>
        <v>3575792043</v>
      </c>
      <c r="H19" s="13">
        <f>+E16+H16</f>
        <v>3784748279</v>
      </c>
      <c r="I19" s="13">
        <f>+F16+I16</f>
        <v>3222760286</v>
      </c>
      <c r="J19" s="824">
        <f>+I19/H19</f>
        <v>0.85151245166865164</v>
      </c>
    </row>
    <row r="20" spans="4:11" x14ac:dyDescent="0.2">
      <c r="D20" s="8">
        <v>1726077</v>
      </c>
    </row>
    <row r="21" spans="4:11" x14ac:dyDescent="0.2">
      <c r="D21" s="13"/>
      <c r="E21" s="13"/>
      <c r="F21" s="13"/>
      <c r="G21" s="8">
        <f>+[3]Munka1!$D$94</f>
        <v>2351625349</v>
      </c>
    </row>
    <row r="22" spans="4:11" x14ac:dyDescent="0.2">
      <c r="G22" s="13">
        <f>+G19-G21</f>
        <v>1224166694</v>
      </c>
      <c r="H22" s="13"/>
      <c r="I22" s="13">
        <f>+F16+I16</f>
        <v>3222760286</v>
      </c>
    </row>
  </sheetData>
  <mergeCells count="10">
    <mergeCell ref="A16:C16"/>
    <mergeCell ref="A1:J1"/>
    <mergeCell ref="A2:J2"/>
    <mergeCell ref="J4:J6"/>
    <mergeCell ref="A4:A6"/>
    <mergeCell ref="B4:B6"/>
    <mergeCell ref="C4:C6"/>
    <mergeCell ref="D6:F6"/>
    <mergeCell ref="G6:I6"/>
    <mergeCell ref="D4:I4"/>
  </mergeCells>
  <phoneticPr fontId="44" type="noConversion"/>
  <printOptions horizontalCentered="1" verticalCentered="1"/>
  <pageMargins left="0.70866141732283472" right="0.70866141732283472" top="0.74803149606299213" bottom="0.74803149606299213" header="0.31496062992125984" footer="0.31496062992125984"/>
  <pageSetup paperSize="9" scale="67" orientation="landscape" r:id="rId1"/>
  <headerFooter>
    <oddHeader>&amp;C2022. évi zárszámadás&amp;R&amp;A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I103"/>
  <sheetViews>
    <sheetView view="pageBreakPreview" topLeftCell="A73" zoomScale="90" zoomScaleNormal="73" zoomScaleSheetLayoutView="90" workbookViewId="0">
      <selection activeCell="F86" sqref="F86"/>
    </sheetView>
  </sheetViews>
  <sheetFormatPr defaultRowHeight="12.75" x14ac:dyDescent="0.2"/>
  <cols>
    <col min="1" max="1" width="13.85546875" customWidth="1"/>
    <col min="2" max="2" width="104.85546875" customWidth="1"/>
    <col min="3" max="3" width="13.5703125" customWidth="1"/>
    <col min="4" max="4" width="13.85546875" customWidth="1"/>
    <col min="5" max="5" width="20.7109375" bestFit="1" customWidth="1"/>
    <col min="6" max="6" width="20.7109375" customWidth="1"/>
    <col min="7" max="7" width="15.85546875" bestFit="1" customWidth="1"/>
    <col min="8" max="8" width="5.7109375" customWidth="1"/>
    <col min="9" max="9" width="15.42578125" customWidth="1"/>
  </cols>
  <sheetData>
    <row r="1" spans="1:8" ht="16.5" x14ac:dyDescent="0.25">
      <c r="A1" s="1276" t="s">
        <v>966</v>
      </c>
      <c r="B1" s="1276"/>
      <c r="C1" s="1276"/>
      <c r="D1" s="1276"/>
      <c r="E1" s="1276"/>
      <c r="F1" s="1276"/>
    </row>
    <row r="2" spans="1:8" x14ac:dyDescent="0.2">
      <c r="A2" s="257"/>
      <c r="B2" s="257"/>
      <c r="C2" s="257"/>
      <c r="D2" s="257"/>
      <c r="E2" s="257"/>
      <c r="F2" s="571"/>
    </row>
    <row r="3" spans="1:8" ht="42" customHeight="1" x14ac:dyDescent="0.2">
      <c r="A3" s="422" t="s">
        <v>808</v>
      </c>
      <c r="B3" s="333"/>
      <c r="C3" s="333" t="s">
        <v>91</v>
      </c>
      <c r="D3" s="333" t="s">
        <v>92</v>
      </c>
      <c r="E3" s="333" t="s">
        <v>1177</v>
      </c>
      <c r="F3" s="506" t="s">
        <v>1178</v>
      </c>
    </row>
    <row r="4" spans="1:8" ht="16.5" customHeight="1" x14ac:dyDescent="0.3">
      <c r="A4" s="422"/>
      <c r="B4" s="693" t="s">
        <v>1536</v>
      </c>
      <c r="C4" s="333"/>
      <c r="D4" s="333"/>
      <c r="E4" s="333"/>
      <c r="F4" s="431"/>
    </row>
    <row r="5" spans="1:8" ht="24" customHeight="1" x14ac:dyDescent="0.2">
      <c r="A5" s="498" t="s">
        <v>194</v>
      </c>
      <c r="B5" s="635" t="s">
        <v>1537</v>
      </c>
      <c r="C5" s="636"/>
      <c r="D5" s="636"/>
      <c r="E5" s="636"/>
      <c r="F5" s="637">
        <v>379812552</v>
      </c>
    </row>
    <row r="6" spans="1:8" ht="18" customHeight="1" x14ac:dyDescent="0.25">
      <c r="A6" s="641"/>
      <c r="B6" s="642" t="s">
        <v>1538</v>
      </c>
      <c r="C6" s="640"/>
      <c r="D6" s="638"/>
      <c r="E6" s="638"/>
      <c r="F6" s="639">
        <f>+F5</f>
        <v>379812552</v>
      </c>
    </row>
    <row r="7" spans="1:8" ht="15.75" customHeight="1" x14ac:dyDescent="0.3">
      <c r="A7" s="620"/>
      <c r="B7" s="693" t="s">
        <v>809</v>
      </c>
      <c r="C7" s="565"/>
      <c r="D7" s="621"/>
      <c r="E7" s="621"/>
      <c r="F7" s="622"/>
    </row>
    <row r="8" spans="1:8" ht="37.5" x14ac:dyDescent="0.2">
      <c r="A8" s="428" t="s">
        <v>810</v>
      </c>
      <c r="B8" s="502" t="s">
        <v>811</v>
      </c>
      <c r="C8" s="429"/>
      <c r="D8" s="503"/>
      <c r="E8" s="430">
        <f>+E10+E12+E21+E23</f>
        <v>441479687</v>
      </c>
      <c r="F8" s="431">
        <f>+F10+F12+F21+F23</f>
        <v>441479687</v>
      </c>
      <c r="G8" s="419"/>
      <c r="H8" s="419"/>
    </row>
    <row r="9" spans="1:8" ht="15.75" x14ac:dyDescent="0.2">
      <c r="A9" s="498" t="s">
        <v>812</v>
      </c>
      <c r="B9" s="499" t="s">
        <v>813</v>
      </c>
      <c r="C9" s="500"/>
      <c r="D9" s="501"/>
      <c r="E9" s="501">
        <f>+E10+E13+E15+E17+E19+E21+E23</f>
        <v>441479687</v>
      </c>
      <c r="F9" s="507">
        <f>+F10+F13+F15+F17+F19+F21+F23</f>
        <v>441479687</v>
      </c>
    </row>
    <row r="10" spans="1:8" ht="15.75" x14ac:dyDescent="0.2">
      <c r="A10" s="421" t="s">
        <v>1011</v>
      </c>
      <c r="B10" s="348" t="s">
        <v>814</v>
      </c>
      <c r="C10" s="334">
        <v>44.54</v>
      </c>
      <c r="D10" s="335">
        <v>5495500</v>
      </c>
      <c r="E10" s="335">
        <f>+C10*D10+1848410</f>
        <v>246617980</v>
      </c>
      <c r="F10" s="336">
        <v>246617980</v>
      </c>
    </row>
    <row r="11" spans="1:8" ht="15.75" x14ac:dyDescent="0.2">
      <c r="A11" s="421"/>
      <c r="B11" s="335"/>
      <c r="C11" s="334"/>
      <c r="D11" s="335"/>
      <c r="E11" s="335">
        <v>0</v>
      </c>
      <c r="F11" s="336">
        <v>0</v>
      </c>
    </row>
    <row r="12" spans="1:8" ht="15.75" x14ac:dyDescent="0.2">
      <c r="A12" s="421"/>
      <c r="B12" s="335"/>
      <c r="C12" s="334"/>
      <c r="D12" s="335"/>
      <c r="E12" s="335">
        <f>+E13+E15+E17+E19</f>
        <v>127804707</v>
      </c>
      <c r="F12" s="336">
        <f>+F13+F15+F17+F19</f>
        <v>127804707</v>
      </c>
    </row>
    <row r="13" spans="1:8" ht="15.75" x14ac:dyDescent="0.2">
      <c r="A13" s="421" t="s">
        <v>1012</v>
      </c>
      <c r="B13" s="348" t="s">
        <v>815</v>
      </c>
      <c r="C13" s="337">
        <f>+E13/D13</f>
        <v>1145.031746031746</v>
      </c>
      <c r="D13" s="335">
        <v>25200</v>
      </c>
      <c r="E13" s="335">
        <f>27966960+887840</f>
        <v>28854800</v>
      </c>
      <c r="F13" s="336">
        <f>27966960+887840</f>
        <v>28854800</v>
      </c>
    </row>
    <row r="14" spans="1:8" ht="15.75" x14ac:dyDescent="0.2">
      <c r="A14" s="421"/>
      <c r="B14" s="335"/>
      <c r="C14" s="334"/>
      <c r="D14" s="335"/>
      <c r="E14" s="335">
        <v>0</v>
      </c>
      <c r="F14" s="336">
        <v>0</v>
      </c>
    </row>
    <row r="15" spans="1:8" ht="15.75" x14ac:dyDescent="0.2">
      <c r="A15" s="421" t="s">
        <v>1013</v>
      </c>
      <c r="B15" s="348" t="s">
        <v>816</v>
      </c>
      <c r="C15" s="334"/>
      <c r="D15" s="335"/>
      <c r="E15" s="335">
        <f>58360000+1604900</f>
        <v>59964900</v>
      </c>
      <c r="F15" s="336">
        <f>58360000+1604900</f>
        <v>59964900</v>
      </c>
    </row>
    <row r="16" spans="1:8" ht="15.75" x14ac:dyDescent="0.2">
      <c r="A16" s="421"/>
      <c r="B16" s="335"/>
      <c r="C16" s="334"/>
      <c r="D16" s="335"/>
      <c r="E16" s="335">
        <v>0</v>
      </c>
      <c r="F16" s="336">
        <v>0</v>
      </c>
    </row>
    <row r="17" spans="1:6" ht="15.75" x14ac:dyDescent="0.2">
      <c r="A17" s="421" t="s">
        <v>1014</v>
      </c>
      <c r="B17" s="348" t="s">
        <v>817</v>
      </c>
      <c r="C17" s="334"/>
      <c r="D17" s="335"/>
      <c r="E17" s="335">
        <f>4814472+509223</f>
        <v>5323695</v>
      </c>
      <c r="F17" s="336">
        <f>4814472+509223</f>
        <v>5323695</v>
      </c>
    </row>
    <row r="18" spans="1:6" ht="15.75" x14ac:dyDescent="0.2">
      <c r="A18" s="421"/>
      <c r="B18" s="335"/>
      <c r="C18" s="334"/>
      <c r="D18" s="335"/>
      <c r="E18" s="335">
        <v>0</v>
      </c>
      <c r="F18" s="336">
        <v>0</v>
      </c>
    </row>
    <row r="19" spans="1:6" ht="15.75" x14ac:dyDescent="0.2">
      <c r="A19" s="421" t="s">
        <v>1015</v>
      </c>
      <c r="B19" s="348" t="s">
        <v>818</v>
      </c>
      <c r="C19" s="334"/>
      <c r="D19" s="335"/>
      <c r="E19" s="335">
        <f>32850847+810465</f>
        <v>33661312</v>
      </c>
      <c r="F19" s="336">
        <f>32850847+810465</f>
        <v>33661312</v>
      </c>
    </row>
    <row r="20" spans="1:6" ht="15.75" x14ac:dyDescent="0.2">
      <c r="A20" s="421"/>
      <c r="B20" s="335"/>
      <c r="C20" s="334"/>
      <c r="D20" s="335"/>
      <c r="E20" s="335">
        <v>0</v>
      </c>
      <c r="F20" s="336">
        <v>0</v>
      </c>
    </row>
    <row r="21" spans="1:6" ht="15.75" x14ac:dyDescent="0.2">
      <c r="A21" s="421" t="s">
        <v>1016</v>
      </c>
      <c r="B21" s="348" t="s">
        <v>499</v>
      </c>
      <c r="C21" s="334"/>
      <c r="D21" s="335"/>
      <c r="E21" s="335">
        <f>64146600+2375800</f>
        <v>66522400</v>
      </c>
      <c r="F21" s="336">
        <f>64146600+2375800</f>
        <v>66522400</v>
      </c>
    </row>
    <row r="22" spans="1:6" ht="15.75" x14ac:dyDescent="0.2">
      <c r="A22" s="421"/>
      <c r="B22" s="335"/>
      <c r="C22" s="334"/>
      <c r="D22" s="335"/>
      <c r="E22" s="335">
        <v>0</v>
      </c>
      <c r="F22" s="336">
        <v>0</v>
      </c>
    </row>
    <row r="23" spans="1:6" ht="15.75" x14ac:dyDescent="0.2">
      <c r="A23" s="423" t="s">
        <v>1017</v>
      </c>
      <c r="B23" s="424" t="s">
        <v>500</v>
      </c>
      <c r="C23" s="425">
        <f>+E23/D23</f>
        <v>209.64705882352942</v>
      </c>
      <c r="D23" s="426">
        <v>2550</v>
      </c>
      <c r="E23" s="426">
        <f>504900+29700</f>
        <v>534600</v>
      </c>
      <c r="F23" s="427">
        <f>504900+29700</f>
        <v>534600</v>
      </c>
    </row>
    <row r="24" spans="1:6" ht="37.5" x14ac:dyDescent="0.3">
      <c r="A24" s="428" t="s">
        <v>819</v>
      </c>
      <c r="B24" s="504" t="s">
        <v>93</v>
      </c>
      <c r="C24" s="429"/>
      <c r="D24" s="430"/>
      <c r="E24" s="430">
        <f>+E25+E29+E33+E44+E49</f>
        <v>824358920</v>
      </c>
      <c r="F24" s="431">
        <f>+F25+F29+F33+F44+F49</f>
        <v>822257970</v>
      </c>
    </row>
    <row r="25" spans="1:6" ht="15" x14ac:dyDescent="0.25">
      <c r="A25" s="432" t="s">
        <v>820</v>
      </c>
      <c r="B25" s="433" t="s">
        <v>94</v>
      </c>
      <c r="C25" s="420"/>
      <c r="D25" s="434"/>
      <c r="E25" s="434">
        <f>+E26</f>
        <v>130130000</v>
      </c>
      <c r="F25" s="508">
        <f>+F26</f>
        <v>127270000</v>
      </c>
    </row>
    <row r="26" spans="1:6" ht="15.75" x14ac:dyDescent="0.25">
      <c r="A26" s="435" t="s">
        <v>1018</v>
      </c>
      <c r="B26" s="338" t="s">
        <v>821</v>
      </c>
      <c r="C26" s="334"/>
      <c r="D26" s="338">
        <v>97400</v>
      </c>
      <c r="E26" s="338">
        <f>+E27+E28+20020000</f>
        <v>130130000</v>
      </c>
      <c r="F26" s="339">
        <v>127270000</v>
      </c>
    </row>
    <row r="27" spans="1:6" ht="15.75" x14ac:dyDescent="0.25">
      <c r="A27" s="436"/>
      <c r="B27" s="340" t="s">
        <v>568</v>
      </c>
      <c r="C27" s="334">
        <v>1001</v>
      </c>
      <c r="D27" s="312">
        <v>73333</v>
      </c>
      <c r="E27" s="338">
        <f>+C27*D27</f>
        <v>73406333</v>
      </c>
      <c r="F27" s="339">
        <v>73406333</v>
      </c>
    </row>
    <row r="28" spans="1:6" ht="15.75" x14ac:dyDescent="0.25">
      <c r="A28" s="436"/>
      <c r="B28" s="340" t="s">
        <v>599</v>
      </c>
      <c r="C28" s="334">
        <v>1001</v>
      </c>
      <c r="D28" s="312">
        <v>36667</v>
      </c>
      <c r="E28" s="338">
        <f>+C28*D28</f>
        <v>36703667</v>
      </c>
      <c r="F28" s="339">
        <v>36703667</v>
      </c>
    </row>
    <row r="29" spans="1:6" ht="15.75" x14ac:dyDescent="0.25">
      <c r="A29" s="435" t="s">
        <v>822</v>
      </c>
      <c r="B29" s="437" t="s">
        <v>823</v>
      </c>
      <c r="C29" s="334"/>
      <c r="D29" s="371"/>
      <c r="E29" s="437">
        <f>+E30</f>
        <v>453135690</v>
      </c>
      <c r="F29" s="341">
        <f>+F30</f>
        <v>449451660</v>
      </c>
    </row>
    <row r="30" spans="1:6" ht="15.75" x14ac:dyDescent="0.25">
      <c r="A30" s="329" t="s">
        <v>1019</v>
      </c>
      <c r="B30" s="438" t="s">
        <v>824</v>
      </c>
      <c r="C30" s="334"/>
      <c r="D30" s="312">
        <v>4861500</v>
      </c>
      <c r="E30" s="439">
        <f>+E32+E31+34560540</f>
        <v>453135690</v>
      </c>
      <c r="F30" s="293">
        <v>449451660</v>
      </c>
    </row>
    <row r="31" spans="1:6" ht="15.75" x14ac:dyDescent="0.25">
      <c r="A31" s="329"/>
      <c r="B31" s="439" t="s">
        <v>825</v>
      </c>
      <c r="C31" s="334">
        <v>86.1</v>
      </c>
      <c r="D31" s="312">
        <f>4861500/12*8</f>
        <v>3241000</v>
      </c>
      <c r="E31" s="439">
        <f>+C31*D31</f>
        <v>279050100</v>
      </c>
      <c r="F31" s="293">
        <v>279050100</v>
      </c>
    </row>
    <row r="32" spans="1:6" ht="15.75" x14ac:dyDescent="0.25">
      <c r="A32" s="436"/>
      <c r="B32" s="439" t="s">
        <v>826</v>
      </c>
      <c r="C32" s="334">
        <v>86.1</v>
      </c>
      <c r="D32" s="338">
        <f>4861500/12*4</f>
        <v>1620500</v>
      </c>
      <c r="E32" s="338">
        <f>+C32*D32</f>
        <v>139525050</v>
      </c>
      <c r="F32" s="293">
        <v>139525050</v>
      </c>
    </row>
    <row r="33" spans="1:6" ht="30" x14ac:dyDescent="0.25">
      <c r="A33" s="329" t="s">
        <v>827</v>
      </c>
      <c r="B33" s="440" t="s">
        <v>767</v>
      </c>
      <c r="C33" s="292"/>
      <c r="D33" s="312"/>
      <c r="E33" s="441">
        <f>E34+E39</f>
        <v>18327230</v>
      </c>
      <c r="F33" s="442">
        <f>F34+F39</f>
        <v>22770310</v>
      </c>
    </row>
    <row r="34" spans="1:6" ht="15" x14ac:dyDescent="0.25">
      <c r="A34" s="443" t="s">
        <v>828</v>
      </c>
      <c r="B34" s="444" t="s">
        <v>829</v>
      </c>
      <c r="C34" s="444"/>
      <c r="D34" s="444"/>
      <c r="E34" s="444">
        <f>+E36</f>
        <v>18327230</v>
      </c>
      <c r="F34" s="445">
        <f>+F36</f>
        <v>20197990</v>
      </c>
    </row>
    <row r="35" spans="1:6" ht="15" x14ac:dyDescent="0.25">
      <c r="A35" s="435" t="s">
        <v>830</v>
      </c>
      <c r="B35" s="1279" t="s">
        <v>831</v>
      </c>
      <c r="C35" s="1279"/>
      <c r="D35" s="1279"/>
      <c r="E35" s="1279"/>
      <c r="F35" s="509"/>
    </row>
    <row r="36" spans="1:6" ht="15" x14ac:dyDescent="0.25">
      <c r="A36" s="435" t="s">
        <v>832</v>
      </c>
      <c r="B36" s="338" t="s">
        <v>833</v>
      </c>
      <c r="C36" s="292"/>
      <c r="D36" s="312"/>
      <c r="E36" s="338">
        <f>+E37+E38+E39+E40</f>
        <v>18327230</v>
      </c>
      <c r="F36" s="339">
        <f>+F37+F38</f>
        <v>20197990</v>
      </c>
    </row>
    <row r="37" spans="1:6" ht="15" x14ac:dyDescent="0.25">
      <c r="A37" s="329" t="s">
        <v>1020</v>
      </c>
      <c r="B37" s="439" t="s">
        <v>834</v>
      </c>
      <c r="C37" s="292">
        <v>28</v>
      </c>
      <c r="D37" s="312">
        <v>432000</v>
      </c>
      <c r="E37" s="439">
        <f>+C37*D37+999320</f>
        <v>13095320</v>
      </c>
      <c r="F37" s="293">
        <v>14966080</v>
      </c>
    </row>
    <row r="38" spans="1:6" ht="15" x14ac:dyDescent="0.25">
      <c r="A38" s="329" t="s">
        <v>1021</v>
      </c>
      <c r="B38" s="439" t="s">
        <v>835</v>
      </c>
      <c r="C38" s="292">
        <v>3</v>
      </c>
      <c r="D38" s="312">
        <v>1611000</v>
      </c>
      <c r="E38" s="439">
        <f>+C38*D38+398910</f>
        <v>5231910</v>
      </c>
      <c r="F38" s="293">
        <v>5231910</v>
      </c>
    </row>
    <row r="39" spans="1:6" ht="15" x14ac:dyDescent="0.25">
      <c r="A39" s="443" t="s">
        <v>836</v>
      </c>
      <c r="B39" s="444" t="s">
        <v>837</v>
      </c>
      <c r="C39" s="444"/>
      <c r="D39" s="444"/>
      <c r="E39" s="444">
        <f>+E41</f>
        <v>0</v>
      </c>
      <c r="F39" s="583">
        <f>+F40</f>
        <v>2572320</v>
      </c>
    </row>
    <row r="40" spans="1:6" ht="15" x14ac:dyDescent="0.25">
      <c r="A40" s="329" t="s">
        <v>838</v>
      </c>
      <c r="B40" s="1279" t="s">
        <v>831</v>
      </c>
      <c r="C40" s="1279"/>
      <c r="D40" s="1279"/>
      <c r="E40" s="1279"/>
      <c r="F40" s="584">
        <f>+F41</f>
        <v>2572320</v>
      </c>
    </row>
    <row r="41" spans="1:6" ht="15" x14ac:dyDescent="0.25">
      <c r="A41" s="435" t="s">
        <v>839</v>
      </c>
      <c r="B41" s="338" t="s">
        <v>833</v>
      </c>
      <c r="C41" s="292"/>
      <c r="D41" s="371"/>
      <c r="E41" s="371"/>
      <c r="F41" s="584">
        <f>+F42+F43</f>
        <v>2572320</v>
      </c>
    </row>
    <row r="42" spans="1:6" ht="15" x14ac:dyDescent="0.25">
      <c r="A42" s="329" t="s">
        <v>840</v>
      </c>
      <c r="B42" s="439" t="s">
        <v>834</v>
      </c>
      <c r="C42" s="292">
        <v>0</v>
      </c>
      <c r="D42" s="312">
        <v>396000</v>
      </c>
      <c r="E42" s="439">
        <f>+D42*C42</f>
        <v>0</v>
      </c>
      <c r="F42" s="293">
        <v>2572320</v>
      </c>
    </row>
    <row r="43" spans="1:6" ht="15" x14ac:dyDescent="0.25">
      <c r="A43" s="446" t="s">
        <v>841</v>
      </c>
      <c r="B43" s="439" t="s">
        <v>835</v>
      </c>
      <c r="C43" s="292">
        <v>0</v>
      </c>
      <c r="D43" s="304">
        <v>1476750</v>
      </c>
      <c r="E43" s="439">
        <f>+D43*C43</f>
        <v>0</v>
      </c>
      <c r="F43" s="293">
        <v>0</v>
      </c>
    </row>
    <row r="44" spans="1:6" ht="15" x14ac:dyDescent="0.25">
      <c r="A44" s="435" t="s">
        <v>842</v>
      </c>
      <c r="B44" s="447" t="s">
        <v>600</v>
      </c>
      <c r="C44" s="292"/>
      <c r="D44" s="342"/>
      <c r="E44" s="448">
        <f>+E47</f>
        <v>5598000</v>
      </c>
      <c r="F44" s="343">
        <f>+F47</f>
        <v>5598000</v>
      </c>
    </row>
    <row r="45" spans="1:6" ht="15" x14ac:dyDescent="0.25">
      <c r="A45" s="329" t="s">
        <v>843</v>
      </c>
      <c r="B45" s="1279" t="s">
        <v>831</v>
      </c>
      <c r="C45" s="1279"/>
      <c r="D45" s="1279"/>
      <c r="E45" s="1279"/>
      <c r="F45" s="509"/>
    </row>
    <row r="46" spans="1:6" ht="15" x14ac:dyDescent="0.25">
      <c r="A46" s="329" t="s">
        <v>844</v>
      </c>
      <c r="B46" s="439" t="s">
        <v>845</v>
      </c>
      <c r="C46" s="292">
        <v>0</v>
      </c>
      <c r="D46" s="312">
        <v>811600</v>
      </c>
      <c r="E46" s="439">
        <f>C46*D46</f>
        <v>0</v>
      </c>
      <c r="F46" s="293">
        <v>0</v>
      </c>
    </row>
    <row r="47" spans="1:6" ht="15" x14ac:dyDescent="0.25">
      <c r="A47" s="329" t="s">
        <v>846</v>
      </c>
      <c r="B47" s="439" t="s">
        <v>847</v>
      </c>
      <c r="C47" s="292">
        <v>9</v>
      </c>
      <c r="D47" s="312">
        <v>622000</v>
      </c>
      <c r="E47" s="439">
        <f>+C47*D47</f>
        <v>5598000</v>
      </c>
      <c r="F47" s="293">
        <v>5598000</v>
      </c>
    </row>
    <row r="48" spans="1:6" ht="15" x14ac:dyDescent="0.25">
      <c r="A48" s="329" t="s">
        <v>848</v>
      </c>
      <c r="B48" s="439" t="s">
        <v>849</v>
      </c>
      <c r="C48" s="292">
        <v>0</v>
      </c>
      <c r="D48" s="312">
        <v>249000</v>
      </c>
      <c r="E48" s="439">
        <f>+C48*D48</f>
        <v>0</v>
      </c>
      <c r="F48" s="293">
        <v>0</v>
      </c>
    </row>
    <row r="49" spans="1:6" ht="30" x14ac:dyDescent="0.25">
      <c r="A49" s="329" t="s">
        <v>850</v>
      </c>
      <c r="B49" s="344" t="s">
        <v>851</v>
      </c>
      <c r="C49" s="292"/>
      <c r="D49" s="312"/>
      <c r="E49" s="449">
        <f>+E51+E52</f>
        <v>217168000</v>
      </c>
      <c r="F49" s="303">
        <f>+F51+F52</f>
        <v>217168000</v>
      </c>
    </row>
    <row r="50" spans="1:6" ht="15" x14ac:dyDescent="0.25">
      <c r="A50" s="329" t="s">
        <v>852</v>
      </c>
      <c r="B50" s="1279" t="s">
        <v>831</v>
      </c>
      <c r="C50" s="1279"/>
      <c r="D50" s="1279"/>
      <c r="E50" s="1279"/>
      <c r="F50" s="509"/>
    </row>
    <row r="51" spans="1:6" ht="15" x14ac:dyDescent="0.25">
      <c r="A51" s="435" t="s">
        <v>1022</v>
      </c>
      <c r="B51" s="345" t="s">
        <v>853</v>
      </c>
      <c r="C51" s="292">
        <v>56</v>
      </c>
      <c r="D51" s="312">
        <v>3339000</v>
      </c>
      <c r="E51" s="448">
        <f>+D51*C51+30184000</f>
        <v>217168000</v>
      </c>
      <c r="F51" s="343">
        <v>217168000</v>
      </c>
    </row>
    <row r="52" spans="1:6" ht="15" x14ac:dyDescent="0.25">
      <c r="A52" s="450" t="s">
        <v>854</v>
      </c>
      <c r="B52" s="451" t="s">
        <v>855</v>
      </c>
      <c r="C52" s="313"/>
      <c r="D52" s="314">
        <v>4861500</v>
      </c>
      <c r="E52" s="452"/>
      <c r="F52" s="510"/>
    </row>
    <row r="53" spans="1:6" ht="37.5" x14ac:dyDescent="0.3">
      <c r="A53" s="453" t="s">
        <v>856</v>
      </c>
      <c r="B53" s="505" t="s">
        <v>857</v>
      </c>
      <c r="C53" s="455"/>
      <c r="D53" s="456"/>
      <c r="E53" s="454">
        <f>+E54+E55+E64+E69</f>
        <v>240122892</v>
      </c>
      <c r="F53" s="457">
        <f>+F54+F55+F64+F69</f>
        <v>283092272</v>
      </c>
    </row>
    <row r="54" spans="1:6" ht="15" x14ac:dyDescent="0.25">
      <c r="A54" s="432" t="s">
        <v>858</v>
      </c>
      <c r="B54" s="458" t="s">
        <v>859</v>
      </c>
      <c r="C54" s="459"/>
      <c r="D54" s="460"/>
      <c r="E54" s="458">
        <f>+C54*D54</f>
        <v>0</v>
      </c>
      <c r="F54" s="461">
        <v>0</v>
      </c>
    </row>
    <row r="55" spans="1:6" ht="15" x14ac:dyDescent="0.25">
      <c r="A55" s="329" t="s">
        <v>860</v>
      </c>
      <c r="B55" s="449" t="s">
        <v>1238</v>
      </c>
      <c r="C55" s="292"/>
      <c r="D55" s="312"/>
      <c r="E55" s="449">
        <f>+E56+E58+E60+E61+E62</f>
        <v>48011692</v>
      </c>
      <c r="F55" s="303">
        <f>+F56+F58+F60+F61+F62</f>
        <v>48613372</v>
      </c>
    </row>
    <row r="56" spans="1:6" ht="15" x14ac:dyDescent="0.25">
      <c r="A56" s="329" t="s">
        <v>1023</v>
      </c>
      <c r="B56" s="439" t="s">
        <v>861</v>
      </c>
      <c r="C56" s="292">
        <f>+E56/D56</f>
        <v>5.7421006474726175</v>
      </c>
      <c r="D56" s="312">
        <v>4287440</v>
      </c>
      <c r="E56" s="439">
        <f>20579712+4039200</f>
        <v>24618912</v>
      </c>
      <c r="F56" s="293">
        <f>20579712+4039200</f>
        <v>24618912</v>
      </c>
    </row>
    <row r="57" spans="1:6" ht="15" x14ac:dyDescent="0.25">
      <c r="A57" s="329" t="s">
        <v>862</v>
      </c>
      <c r="B57" s="1280" t="s">
        <v>95</v>
      </c>
      <c r="C57" s="1280"/>
      <c r="D57" s="1280"/>
      <c r="E57" s="1280"/>
      <c r="F57" s="509"/>
    </row>
    <row r="58" spans="1:6" ht="15" x14ac:dyDescent="0.25">
      <c r="A58" s="435" t="s">
        <v>1024</v>
      </c>
      <c r="B58" s="439" t="s">
        <v>863</v>
      </c>
      <c r="C58" s="292">
        <v>95</v>
      </c>
      <c r="D58" s="345">
        <v>67810</v>
      </c>
      <c r="E58" s="345">
        <f>+D58*C58+570000</f>
        <v>7011950</v>
      </c>
      <c r="F58" s="346">
        <v>7381000</v>
      </c>
    </row>
    <row r="59" spans="1:6" ht="15" x14ac:dyDescent="0.25">
      <c r="A59" s="329" t="s">
        <v>864</v>
      </c>
      <c r="B59" s="1280" t="s">
        <v>96</v>
      </c>
      <c r="C59" s="1280"/>
      <c r="D59" s="1280"/>
      <c r="E59" s="1280"/>
      <c r="F59" s="509"/>
    </row>
    <row r="60" spans="1:6" ht="15" x14ac:dyDescent="0.25">
      <c r="A60" s="329" t="s">
        <v>865</v>
      </c>
      <c r="B60" s="439" t="s">
        <v>502</v>
      </c>
      <c r="C60" s="292">
        <v>4</v>
      </c>
      <c r="D60" s="345">
        <v>25000</v>
      </c>
      <c r="E60" s="439">
        <f>+D60*C60</f>
        <v>100000</v>
      </c>
      <c r="F60" s="293">
        <v>50000</v>
      </c>
    </row>
    <row r="61" spans="1:6" ht="15" x14ac:dyDescent="0.25">
      <c r="A61" s="329" t="s">
        <v>1025</v>
      </c>
      <c r="B61" s="439" t="s">
        <v>866</v>
      </c>
      <c r="C61" s="347">
        <v>26</v>
      </c>
      <c r="D61" s="312">
        <v>381130</v>
      </c>
      <c r="E61" s="439">
        <f>+C61*D61+2132000</f>
        <v>12041380</v>
      </c>
      <c r="F61" s="293">
        <v>12041380</v>
      </c>
    </row>
    <row r="62" spans="1:6" ht="15" x14ac:dyDescent="0.25">
      <c r="A62" s="446" t="s">
        <v>867</v>
      </c>
      <c r="B62" s="304" t="s">
        <v>97</v>
      </c>
      <c r="C62" s="462"/>
      <c r="D62" s="462"/>
      <c r="E62" s="462">
        <f>+E63</f>
        <v>4239450</v>
      </c>
      <c r="F62" s="463">
        <f>+F63</f>
        <v>4522080</v>
      </c>
    </row>
    <row r="63" spans="1:6" ht="15" x14ac:dyDescent="0.25">
      <c r="A63" s="329" t="s">
        <v>1026</v>
      </c>
      <c r="B63" s="304" t="s">
        <v>868</v>
      </c>
      <c r="C63" s="347">
        <v>15</v>
      </c>
      <c r="D63" s="312">
        <v>225630</v>
      </c>
      <c r="E63" s="439">
        <f>+C63*D63+855000</f>
        <v>4239450</v>
      </c>
      <c r="F63" s="293">
        <v>4522080</v>
      </c>
    </row>
    <row r="64" spans="1:6" ht="15.75" x14ac:dyDescent="0.25">
      <c r="A64" s="330" t="s">
        <v>869</v>
      </c>
      <c r="B64" s="464" t="s">
        <v>569</v>
      </c>
      <c r="C64" s="464"/>
      <c r="D64" s="464"/>
      <c r="E64" s="342">
        <f>+E66+E67+E68</f>
        <v>192111200</v>
      </c>
      <c r="F64" s="465">
        <f>+F66+F67+F68</f>
        <v>234478900</v>
      </c>
    </row>
    <row r="65" spans="1:7" ht="15.75" x14ac:dyDescent="0.25">
      <c r="A65" s="330" t="s">
        <v>870</v>
      </c>
      <c r="B65" s="1281" t="s">
        <v>871</v>
      </c>
      <c r="C65" s="1281"/>
      <c r="D65" s="1281"/>
      <c r="E65" s="1281"/>
      <c r="F65" s="509"/>
    </row>
    <row r="66" spans="1:7" ht="15.75" x14ac:dyDescent="0.25">
      <c r="A66" s="330" t="s">
        <v>1027</v>
      </c>
      <c r="B66" s="315" t="s">
        <v>570</v>
      </c>
      <c r="C66" s="316">
        <v>6</v>
      </c>
      <c r="D66" s="312">
        <v>5100000</v>
      </c>
      <c r="E66" s="318">
        <f>+D66*C66+11344200</f>
        <v>41944200</v>
      </c>
      <c r="F66" s="319">
        <v>48934900</v>
      </c>
    </row>
    <row r="67" spans="1:7" ht="15.75" x14ac:dyDescent="0.25">
      <c r="A67" s="330" t="s">
        <v>1028</v>
      </c>
      <c r="B67" s="315" t="s">
        <v>571</v>
      </c>
      <c r="C67" s="316">
        <v>19</v>
      </c>
      <c r="D67" s="312">
        <v>4260000</v>
      </c>
      <c r="E67" s="318">
        <f>+D67*C67+22667000</f>
        <v>103607000</v>
      </c>
      <c r="F67" s="319">
        <v>125419000</v>
      </c>
    </row>
    <row r="68" spans="1:7" ht="18.75" x14ac:dyDescent="0.3">
      <c r="A68" s="330" t="s">
        <v>872</v>
      </c>
      <c r="B68" s="497" t="s">
        <v>873</v>
      </c>
      <c r="C68" s="321"/>
      <c r="D68" s="312"/>
      <c r="E68" s="439">
        <v>46560000</v>
      </c>
      <c r="F68" s="293">
        <v>60125000</v>
      </c>
    </row>
    <row r="69" spans="1:7" ht="32.25" x14ac:dyDescent="0.3">
      <c r="A69" s="330" t="s">
        <v>874</v>
      </c>
      <c r="B69" s="317" t="s">
        <v>393</v>
      </c>
      <c r="C69" s="321"/>
      <c r="D69" s="321"/>
      <c r="E69" s="439"/>
      <c r="F69" s="511"/>
    </row>
    <row r="70" spans="1:7" ht="15.75" x14ac:dyDescent="0.25">
      <c r="A70" s="466" t="s">
        <v>875</v>
      </c>
      <c r="B70" s="424" t="s">
        <v>876</v>
      </c>
      <c r="C70" s="467"/>
      <c r="D70" s="426">
        <v>4234040</v>
      </c>
      <c r="E70" s="426"/>
      <c r="F70" s="512"/>
    </row>
    <row r="71" spans="1:7" ht="37.5" x14ac:dyDescent="0.3">
      <c r="A71" s="428" t="s">
        <v>877</v>
      </c>
      <c r="B71" s="505" t="s">
        <v>878</v>
      </c>
      <c r="C71" s="468"/>
      <c r="D71" s="468"/>
      <c r="E71" s="469">
        <f>+E72+E75</f>
        <v>174329070</v>
      </c>
      <c r="F71" s="470">
        <f>+F72+F75</f>
        <v>232116052</v>
      </c>
    </row>
    <row r="72" spans="1:7" ht="15.75" x14ac:dyDescent="0.25">
      <c r="A72" s="471" t="s">
        <v>879</v>
      </c>
      <c r="B72" s="472" t="s">
        <v>880</v>
      </c>
      <c r="C72" s="473"/>
      <c r="D72" s="474"/>
      <c r="E72" s="475">
        <f>+E73+E74</f>
        <v>174154650</v>
      </c>
      <c r="F72" s="476">
        <f>+F73+F74</f>
        <v>231991792</v>
      </c>
    </row>
    <row r="73" spans="1:7" ht="15.75" x14ac:dyDescent="0.25">
      <c r="A73" s="331" t="s">
        <v>1029</v>
      </c>
      <c r="B73" s="315" t="s">
        <v>881</v>
      </c>
      <c r="C73" s="316">
        <v>32.630000000000003</v>
      </c>
      <c r="D73" s="335">
        <v>2442000</v>
      </c>
      <c r="E73" s="439">
        <f>+D73*C73+8428329</f>
        <v>88110789</v>
      </c>
      <c r="F73" s="511">
        <v>104177574</v>
      </c>
    </row>
    <row r="74" spans="1:7" ht="15.75" x14ac:dyDescent="0.25">
      <c r="A74" s="331" t="s">
        <v>882</v>
      </c>
      <c r="B74" s="497" t="s">
        <v>883</v>
      </c>
      <c r="C74" s="316"/>
      <c r="D74" s="335"/>
      <c r="E74" s="439">
        <v>86043861</v>
      </c>
      <c r="F74" s="293">
        <v>127814218</v>
      </c>
    </row>
    <row r="75" spans="1:7" ht="15.75" x14ac:dyDescent="0.25">
      <c r="A75" s="477" t="s">
        <v>884</v>
      </c>
      <c r="B75" s="478" t="s">
        <v>885</v>
      </c>
      <c r="C75" s="467">
        <v>612</v>
      </c>
      <c r="D75" s="479">
        <v>285</v>
      </c>
      <c r="E75" s="478">
        <f>+D75*C75</f>
        <v>174420</v>
      </c>
      <c r="F75" s="513">
        <v>124260</v>
      </c>
    </row>
    <row r="76" spans="1:7" ht="37.5" x14ac:dyDescent="0.3">
      <c r="A76" s="480" t="s">
        <v>886</v>
      </c>
      <c r="B76" s="504" t="s">
        <v>98</v>
      </c>
      <c r="C76" s="481"/>
      <c r="D76" s="481"/>
      <c r="E76" s="469">
        <f>+E77</f>
        <v>52576454</v>
      </c>
      <c r="F76" s="470">
        <f>+F77</f>
        <v>52576454</v>
      </c>
    </row>
    <row r="77" spans="1:7" ht="15.75" x14ac:dyDescent="0.25">
      <c r="A77" s="482" t="s">
        <v>887</v>
      </c>
      <c r="B77" s="483" t="s">
        <v>99</v>
      </c>
      <c r="C77" s="484">
        <f>+E77/D77</f>
        <v>23758</v>
      </c>
      <c r="D77" s="485">
        <v>2213</v>
      </c>
      <c r="E77" s="486">
        <v>52576454</v>
      </c>
      <c r="F77" s="487">
        <v>52576454</v>
      </c>
      <c r="G77" s="349"/>
    </row>
    <row r="78" spans="1:7" ht="15.75" x14ac:dyDescent="0.25">
      <c r="A78" s="1282" t="s">
        <v>100</v>
      </c>
      <c r="B78" s="1283"/>
      <c r="C78" s="429"/>
      <c r="D78" s="488"/>
      <c r="E78" s="488">
        <f>+E8+E24+E53+E71+E76</f>
        <v>1732867023</v>
      </c>
      <c r="F78" s="489">
        <f>+F8+F24+F53+F71+F76</f>
        <v>1831522435</v>
      </c>
      <c r="G78" s="320"/>
    </row>
    <row r="79" spans="1:7" ht="15.75" x14ac:dyDescent="0.25">
      <c r="A79" s="490"/>
      <c r="B79" s="491"/>
      <c r="C79" s="491"/>
      <c r="D79" s="491"/>
      <c r="E79" s="491"/>
      <c r="F79" s="492"/>
    </row>
    <row r="80" spans="1:7" ht="15.75" x14ac:dyDescent="0.25">
      <c r="A80" s="1282" t="s">
        <v>501</v>
      </c>
      <c r="B80" s="1283"/>
      <c r="C80" s="429"/>
      <c r="D80" s="488"/>
      <c r="E80" s="488">
        <v>898020658</v>
      </c>
      <c r="F80" s="489">
        <v>898020658</v>
      </c>
      <c r="G80" s="566">
        <f>+F55+F64+F86</f>
        <v>313135235</v>
      </c>
    </row>
    <row r="81" spans="1:9" ht="15.75" x14ac:dyDescent="0.25">
      <c r="A81" s="623"/>
      <c r="B81" s="491"/>
      <c r="C81" s="491"/>
      <c r="D81" s="491"/>
      <c r="E81" s="491"/>
      <c r="F81" s="492"/>
    </row>
    <row r="82" spans="1:9" ht="18.75" x14ac:dyDescent="0.3">
      <c r="A82" s="1277" t="s">
        <v>911</v>
      </c>
      <c r="B82" s="1278"/>
      <c r="C82" s="493"/>
      <c r="D82" s="494"/>
      <c r="E82" s="495">
        <f>+E78-E80</f>
        <v>834846365</v>
      </c>
      <c r="F82" s="496">
        <f>+F78-F80</f>
        <v>933501777</v>
      </c>
      <c r="G82" s="566">
        <f>+F76+F88+F87</f>
        <v>53165454</v>
      </c>
      <c r="I82" s="566">
        <f>+F53+F86</f>
        <v>313135235</v>
      </c>
    </row>
    <row r="83" spans="1:9" ht="18.75" x14ac:dyDescent="0.3">
      <c r="A83" s="550"/>
      <c r="B83" s="551"/>
      <c r="C83" s="552"/>
      <c r="D83" s="553"/>
      <c r="E83" s="554"/>
      <c r="F83" s="555"/>
    </row>
    <row r="84" spans="1:9" ht="18.75" customHeight="1" x14ac:dyDescent="0.3">
      <c r="A84" s="1273" t="s">
        <v>1197</v>
      </c>
      <c r="B84" s="1274"/>
      <c r="C84" s="1274"/>
      <c r="D84" s="1274"/>
      <c r="E84" s="565"/>
      <c r="F84" s="564"/>
    </row>
    <row r="85" spans="1:9" ht="25.5" x14ac:dyDescent="0.2">
      <c r="A85" s="556" t="s">
        <v>1198</v>
      </c>
      <c r="B85" s="557" t="s">
        <v>1519</v>
      </c>
      <c r="C85" s="1275"/>
      <c r="D85" s="1275"/>
      <c r="E85" s="624"/>
      <c r="F85" s="558">
        <v>0</v>
      </c>
    </row>
    <row r="86" spans="1:9" ht="15.75" x14ac:dyDescent="0.2">
      <c r="A86" s="559" t="s">
        <v>1199</v>
      </c>
      <c r="B86" s="72" t="s">
        <v>1200</v>
      </c>
      <c r="C86" s="1265"/>
      <c r="D86" s="1265"/>
      <c r="E86" s="136"/>
      <c r="F86" s="560">
        <v>30042963</v>
      </c>
      <c r="G86" s="320">
        <f>+F78+F90+F94+F6</f>
        <v>2374477160</v>
      </c>
      <c r="I86" s="320">
        <f>+'1.b sz. Önkormányzat 2022.'!DF30</f>
        <v>2374477160</v>
      </c>
    </row>
    <row r="87" spans="1:9" ht="15.75" x14ac:dyDescent="0.2">
      <c r="A87" s="559" t="s">
        <v>1201</v>
      </c>
      <c r="B87" s="72" t="s">
        <v>1202</v>
      </c>
      <c r="C87" s="1265"/>
      <c r="D87" s="1265"/>
      <c r="E87" s="136"/>
      <c r="F87" s="560">
        <v>589000</v>
      </c>
    </row>
    <row r="88" spans="1:9" ht="15.75" x14ac:dyDescent="0.2">
      <c r="A88" s="559" t="s">
        <v>1203</v>
      </c>
      <c r="B88" s="72" t="s">
        <v>1204</v>
      </c>
      <c r="C88" s="1265"/>
      <c r="D88" s="1265"/>
      <c r="E88" s="136"/>
      <c r="F88" s="560">
        <v>0</v>
      </c>
    </row>
    <row r="89" spans="1:9" ht="15.75" x14ac:dyDescent="0.2">
      <c r="A89" s="561" t="s">
        <v>1205</v>
      </c>
      <c r="B89" s="73" t="s">
        <v>1206</v>
      </c>
      <c r="C89" s="1269"/>
      <c r="D89" s="1269"/>
      <c r="E89" s="140"/>
      <c r="F89" s="562">
        <v>123753075</v>
      </c>
    </row>
    <row r="90" spans="1:9" ht="15.75" x14ac:dyDescent="0.25">
      <c r="A90" s="1270" t="s">
        <v>1207</v>
      </c>
      <c r="B90" s="1271"/>
      <c r="C90" s="1272">
        <f>+E85+E86+E87+E88</f>
        <v>0</v>
      </c>
      <c r="D90" s="1272"/>
      <c r="E90" s="1272"/>
      <c r="F90" s="563">
        <f>F85+F86+F87+F88+F89</f>
        <v>154385038</v>
      </c>
    </row>
    <row r="91" spans="1:9" x14ac:dyDescent="0.2">
      <c r="A91" s="626"/>
      <c r="F91" s="627"/>
    </row>
    <row r="92" spans="1:9" ht="60" x14ac:dyDescent="0.2">
      <c r="A92" s="628" t="s">
        <v>1503</v>
      </c>
      <c r="B92" s="629" t="s">
        <v>2</v>
      </c>
      <c r="C92" s="629" t="s">
        <v>91</v>
      </c>
      <c r="D92" s="629" t="s">
        <v>92</v>
      </c>
      <c r="E92" s="629" t="s">
        <v>1177</v>
      </c>
      <c r="F92" s="630" t="s">
        <v>1178</v>
      </c>
    </row>
    <row r="93" spans="1:9" ht="15.75" x14ac:dyDescent="0.25">
      <c r="A93" s="631"/>
      <c r="B93" s="632" t="s">
        <v>1504</v>
      </c>
      <c r="C93" s="633"/>
      <c r="D93" s="633"/>
      <c r="E93" s="633"/>
      <c r="F93" s="560">
        <v>8757135</v>
      </c>
    </row>
    <row r="94" spans="1:9" ht="15.75" x14ac:dyDescent="0.25">
      <c r="A94" s="1266" t="s">
        <v>115</v>
      </c>
      <c r="B94" s="1267"/>
      <c r="C94" s="1268"/>
      <c r="D94" s="1268"/>
      <c r="E94" s="1268"/>
      <c r="F94" s="634">
        <f>SUM(F93:F93)</f>
        <v>8757135</v>
      </c>
    </row>
    <row r="95" spans="1:9" ht="18.75" x14ac:dyDescent="0.3">
      <c r="A95" s="551"/>
      <c r="B95" s="551"/>
      <c r="C95" s="552"/>
      <c r="D95" s="553"/>
      <c r="E95" s="554"/>
      <c r="F95" s="554"/>
    </row>
    <row r="96" spans="1:9" x14ac:dyDescent="0.2">
      <c r="A96" s="552"/>
      <c r="B96" s="552"/>
      <c r="C96" s="552"/>
      <c r="D96" s="552"/>
      <c r="E96" s="552"/>
      <c r="F96" s="552"/>
    </row>
    <row r="97" spans="1:6" x14ac:dyDescent="0.2">
      <c r="A97" s="552" t="s">
        <v>1030</v>
      </c>
      <c r="B97" s="552"/>
      <c r="C97" s="552"/>
      <c r="D97" s="552"/>
      <c r="E97" s="552"/>
      <c r="F97" s="552"/>
    </row>
    <row r="98" spans="1:6" x14ac:dyDescent="0.2">
      <c r="A98" s="552"/>
      <c r="B98" s="552"/>
      <c r="C98" s="552"/>
      <c r="D98" s="552"/>
      <c r="E98" s="552"/>
      <c r="F98" s="552"/>
    </row>
    <row r="99" spans="1:6" x14ac:dyDescent="0.2">
      <c r="A99" s="552"/>
      <c r="B99" s="552"/>
      <c r="C99" s="552"/>
      <c r="D99" s="552"/>
      <c r="E99" s="552"/>
      <c r="F99" s="552"/>
    </row>
    <row r="100" spans="1:6" x14ac:dyDescent="0.2">
      <c r="A100" s="552"/>
      <c r="B100" s="552"/>
      <c r="C100" s="552"/>
      <c r="D100" s="552"/>
      <c r="E100" s="552"/>
      <c r="F100" s="552"/>
    </row>
    <row r="101" spans="1:6" x14ac:dyDescent="0.2">
      <c r="A101" s="552"/>
      <c r="B101" s="552"/>
      <c r="C101" s="552"/>
      <c r="D101" s="552"/>
      <c r="E101" s="552"/>
      <c r="F101" s="552"/>
    </row>
    <row r="102" spans="1:6" x14ac:dyDescent="0.2">
      <c r="A102" s="552"/>
      <c r="B102" s="552"/>
      <c r="C102" s="552"/>
      <c r="D102" s="552"/>
      <c r="E102" s="552"/>
      <c r="F102" s="552"/>
    </row>
    <row r="103" spans="1:6" x14ac:dyDescent="0.2">
      <c r="A103" s="552"/>
      <c r="B103" s="552"/>
      <c r="C103" s="552"/>
      <c r="D103" s="552"/>
      <c r="E103" s="552"/>
      <c r="F103" s="552"/>
    </row>
  </sheetData>
  <mergeCells count="22">
    <mergeCell ref="A84:B84"/>
    <mergeCell ref="C84:D84"/>
    <mergeCell ref="C85:D85"/>
    <mergeCell ref="C86:D86"/>
    <mergeCell ref="A1:F1"/>
    <mergeCell ref="A82:B82"/>
    <mergeCell ref="B35:E35"/>
    <mergeCell ref="B40:E40"/>
    <mergeCell ref="B45:E45"/>
    <mergeCell ref="B50:E50"/>
    <mergeCell ref="B57:E57"/>
    <mergeCell ref="B59:E59"/>
    <mergeCell ref="B65:E65"/>
    <mergeCell ref="A78:B78"/>
    <mergeCell ref="A80:B80"/>
    <mergeCell ref="C87:D87"/>
    <mergeCell ref="A94:B94"/>
    <mergeCell ref="C94:E94"/>
    <mergeCell ref="C89:D89"/>
    <mergeCell ref="A90:B90"/>
    <mergeCell ref="C90:E90"/>
    <mergeCell ref="C88:D88"/>
  </mergeCells>
  <printOptions horizontalCentered="1" verticalCentered="1"/>
  <pageMargins left="0.31496062992125984" right="0.31496062992125984" top="0.35433070866141736" bottom="0.35433070866141736" header="0.31496062992125984" footer="0.31496062992125984"/>
  <pageSetup paperSize="9" scale="55" orientation="landscape" r:id="rId1"/>
  <headerFooter>
    <oddHeader>&amp;C2022. évi zárszámadás&amp;R&amp;A</oddHeader>
    <oddFooter>&amp;C&amp;P/&amp;N</oddFooter>
  </headerFooter>
  <rowBreaks count="1" manualBreakCount="1">
    <brk id="5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79998168889431442"/>
  </sheetPr>
  <dimension ref="A1:AS34"/>
  <sheetViews>
    <sheetView view="pageBreakPreview" topLeftCell="AC6" zoomScale="80" zoomScaleNormal="80" zoomScaleSheetLayoutView="80" workbookViewId="0">
      <selection activeCell="AQ28" sqref="AQ28"/>
    </sheetView>
  </sheetViews>
  <sheetFormatPr defaultColWidth="9.140625" defaultRowHeight="12.75" x14ac:dyDescent="0.2"/>
  <cols>
    <col min="1" max="1" width="3.7109375" style="18" customWidth="1"/>
    <col min="2" max="2" width="5.7109375" style="18" customWidth="1"/>
    <col min="3" max="3" width="5.85546875" style="18" customWidth="1"/>
    <col min="4" max="4" width="45.7109375" style="18" customWidth="1"/>
    <col min="5" max="34" width="15.7109375" style="18" customWidth="1"/>
    <col min="35" max="40" width="15.5703125" style="18" customWidth="1"/>
    <col min="41" max="41" width="15.28515625" style="18" customWidth="1"/>
    <col min="42" max="43" width="15.5703125" style="18" bestFit="1" customWidth="1"/>
    <col min="44" max="16384" width="9.140625" style="18"/>
  </cols>
  <sheetData>
    <row r="1" spans="1:45" ht="29.25" customHeight="1" x14ac:dyDescent="0.2">
      <c r="A1" s="727"/>
      <c r="B1" s="727"/>
      <c r="C1" s="727"/>
      <c r="D1" s="727"/>
      <c r="E1" s="1133" t="s">
        <v>1437</v>
      </c>
      <c r="F1" s="1133"/>
      <c r="G1" s="1133"/>
      <c r="H1" s="1133"/>
      <c r="I1" s="1133"/>
      <c r="J1" s="1133"/>
      <c r="K1" s="1133"/>
      <c r="L1" s="1133"/>
      <c r="M1" s="1133"/>
      <c r="N1" s="1133"/>
      <c r="O1" s="1133"/>
      <c r="P1" s="1133"/>
      <c r="Q1" s="1133" t="s">
        <v>1437</v>
      </c>
      <c r="R1" s="1133"/>
      <c r="S1" s="1133"/>
      <c r="T1" s="1133"/>
      <c r="U1" s="1133"/>
      <c r="V1" s="1133"/>
      <c r="W1" s="1133"/>
      <c r="X1" s="1133"/>
      <c r="Y1" s="1133"/>
      <c r="Z1" s="1133"/>
      <c r="AA1" s="1133"/>
      <c r="AB1" s="1133"/>
      <c r="AC1" s="1133" t="s">
        <v>1437</v>
      </c>
      <c r="AD1" s="1133"/>
      <c r="AE1" s="1133"/>
      <c r="AF1" s="1133"/>
      <c r="AG1" s="1133"/>
      <c r="AH1" s="1133"/>
      <c r="AI1" s="1133"/>
      <c r="AJ1" s="1133"/>
      <c r="AK1" s="1133"/>
      <c r="AL1" s="1133"/>
      <c r="AM1" s="1133"/>
      <c r="AN1" s="1133"/>
      <c r="AO1" s="1284" t="s">
        <v>1437</v>
      </c>
      <c r="AP1" s="1284"/>
      <c r="AQ1" s="1284"/>
    </row>
    <row r="2" spans="1:45" ht="12.75" customHeight="1" x14ac:dyDescent="0.25">
      <c r="A2" s="355"/>
      <c r="B2" s="45"/>
      <c r="C2" s="45"/>
      <c r="D2" s="45"/>
      <c r="E2" s="45"/>
      <c r="F2" s="45"/>
      <c r="G2" s="45"/>
      <c r="H2" s="45"/>
      <c r="I2" s="45"/>
      <c r="J2" s="45"/>
      <c r="K2" s="45"/>
      <c r="L2" s="45"/>
      <c r="M2" s="45"/>
      <c r="N2" s="45"/>
      <c r="O2" s="45"/>
      <c r="P2" s="45"/>
      <c r="Q2" s="45"/>
      <c r="R2" s="45"/>
      <c r="S2" s="45"/>
      <c r="T2" s="45"/>
      <c r="U2" s="105" t="s">
        <v>415</v>
      </c>
      <c r="V2" s="105"/>
      <c r="W2" s="45"/>
      <c r="X2" s="45"/>
      <c r="Y2" s="45"/>
      <c r="Z2" s="45"/>
      <c r="AA2" s="45"/>
      <c r="AB2" s="45"/>
      <c r="AD2" s="45"/>
      <c r="AE2" s="45"/>
      <c r="AF2" s="45"/>
      <c r="AG2" s="45"/>
      <c r="AH2" s="45"/>
      <c r="AI2" s="45"/>
      <c r="AJ2" s="45"/>
      <c r="AK2" s="45"/>
      <c r="AL2" s="45"/>
      <c r="AM2" s="45"/>
      <c r="AN2" s="45"/>
      <c r="AO2" s="45"/>
      <c r="AQ2" s="105" t="s">
        <v>415</v>
      </c>
    </row>
    <row r="3" spans="1:45" ht="34.5" customHeight="1" x14ac:dyDescent="0.2">
      <c r="A3" s="1131" t="s">
        <v>53</v>
      </c>
      <c r="B3" s="1131" t="s">
        <v>647</v>
      </c>
      <c r="C3" s="1131" t="s">
        <v>55</v>
      </c>
      <c r="D3" s="1129" t="s">
        <v>2</v>
      </c>
      <c r="E3" s="384" t="s">
        <v>274</v>
      </c>
      <c r="F3" s="521" t="s">
        <v>1074</v>
      </c>
      <c r="G3" s="521" t="s">
        <v>1546</v>
      </c>
      <c r="H3" s="384" t="s">
        <v>274</v>
      </c>
      <c r="I3" s="521" t="s">
        <v>1074</v>
      </c>
      <c r="J3" s="521" t="s">
        <v>1546</v>
      </c>
      <c r="K3" s="384" t="s">
        <v>274</v>
      </c>
      <c r="L3" s="521" t="s">
        <v>1074</v>
      </c>
      <c r="M3" s="521" t="s">
        <v>1546</v>
      </c>
      <c r="N3" s="384" t="s">
        <v>274</v>
      </c>
      <c r="O3" s="521" t="s">
        <v>1074</v>
      </c>
      <c r="P3" s="522" t="s">
        <v>1546</v>
      </c>
      <c r="Q3" s="390" t="s">
        <v>274</v>
      </c>
      <c r="R3" s="521" t="s">
        <v>1074</v>
      </c>
      <c r="S3" s="521" t="s">
        <v>1546</v>
      </c>
      <c r="T3" s="384" t="s">
        <v>274</v>
      </c>
      <c r="U3" s="521" t="s">
        <v>1074</v>
      </c>
      <c r="V3" s="521" t="s">
        <v>1546</v>
      </c>
      <c r="W3" s="384" t="s">
        <v>274</v>
      </c>
      <c r="X3" s="521" t="s">
        <v>1074</v>
      </c>
      <c r="Y3" s="521" t="s">
        <v>1546</v>
      </c>
      <c r="Z3" s="384" t="s">
        <v>274</v>
      </c>
      <c r="AA3" s="521" t="s">
        <v>1074</v>
      </c>
      <c r="AB3" s="522" t="s">
        <v>1546</v>
      </c>
      <c r="AC3" s="390" t="s">
        <v>274</v>
      </c>
      <c r="AD3" s="521" t="s">
        <v>1074</v>
      </c>
      <c r="AE3" s="521" t="s">
        <v>1546</v>
      </c>
      <c r="AF3" s="384" t="s">
        <v>274</v>
      </c>
      <c r="AG3" s="521" t="s">
        <v>1074</v>
      </c>
      <c r="AH3" s="521" t="s">
        <v>1546</v>
      </c>
      <c r="AI3" s="384" t="s">
        <v>274</v>
      </c>
      <c r="AJ3" s="521" t="s">
        <v>1074</v>
      </c>
      <c r="AK3" s="521" t="s">
        <v>1546</v>
      </c>
      <c r="AL3" s="384" t="s">
        <v>274</v>
      </c>
      <c r="AM3" s="521" t="s">
        <v>1074</v>
      </c>
      <c r="AN3" s="522" t="s">
        <v>1546</v>
      </c>
      <c r="AO3" s="645" t="s">
        <v>274</v>
      </c>
      <c r="AP3" s="645" t="s">
        <v>1074</v>
      </c>
      <c r="AQ3" s="645" t="s">
        <v>1546</v>
      </c>
    </row>
    <row r="4" spans="1:45" ht="93.75" customHeight="1" x14ac:dyDescent="0.2">
      <c r="A4" s="1132"/>
      <c r="B4" s="1132"/>
      <c r="C4" s="1132"/>
      <c r="D4" s="1130"/>
      <c r="E4" s="1121" t="s">
        <v>249</v>
      </c>
      <c r="F4" s="1122"/>
      <c r="G4" s="1123"/>
      <c r="H4" s="1121" t="s">
        <v>1438</v>
      </c>
      <c r="I4" s="1122"/>
      <c r="J4" s="1123"/>
      <c r="K4" s="1121" t="s">
        <v>2067</v>
      </c>
      <c r="L4" s="1122"/>
      <c r="M4" s="1123"/>
      <c r="N4" s="1121" t="s">
        <v>2055</v>
      </c>
      <c r="O4" s="1122"/>
      <c r="P4" s="1123"/>
      <c r="Q4" s="1122" t="s">
        <v>1608</v>
      </c>
      <c r="R4" s="1122"/>
      <c r="S4" s="1123"/>
      <c r="T4" s="1121" t="s">
        <v>2039</v>
      </c>
      <c r="U4" s="1122" t="s">
        <v>545</v>
      </c>
      <c r="V4" s="1123"/>
      <c r="W4" s="1121" t="s">
        <v>2026</v>
      </c>
      <c r="X4" s="1122" t="s">
        <v>348</v>
      </c>
      <c r="Y4" s="1123"/>
      <c r="Z4" s="1121" t="s">
        <v>2056</v>
      </c>
      <c r="AA4" s="1122" t="s">
        <v>806</v>
      </c>
      <c r="AB4" s="1123"/>
      <c r="AC4" s="1122" t="s">
        <v>1947</v>
      </c>
      <c r="AD4" s="1122" t="s">
        <v>588</v>
      </c>
      <c r="AE4" s="1123"/>
      <c r="AF4" s="1121" t="s">
        <v>1973</v>
      </c>
      <c r="AG4" s="1122" t="s">
        <v>336</v>
      </c>
      <c r="AH4" s="1123"/>
      <c r="AI4" s="1121" t="s">
        <v>2057</v>
      </c>
      <c r="AJ4" s="1122" t="s">
        <v>137</v>
      </c>
      <c r="AK4" s="1123"/>
      <c r="AL4" s="1121" t="s">
        <v>2058</v>
      </c>
      <c r="AM4" s="1122" t="s">
        <v>138</v>
      </c>
      <c r="AN4" s="1123"/>
      <c r="AO4" s="1191" t="s">
        <v>115</v>
      </c>
      <c r="AP4" s="1191" t="s">
        <v>115</v>
      </c>
      <c r="AQ4" s="1191"/>
    </row>
    <row r="5" spans="1:45" s="38" customFormat="1" ht="22.5" customHeight="1" x14ac:dyDescent="0.2">
      <c r="A5" s="1126" t="s">
        <v>58</v>
      </c>
      <c r="B5" s="1127"/>
      <c r="C5" s="1127"/>
      <c r="D5" s="1127"/>
      <c r="E5" s="61">
        <f>SUM(E6:E14)</f>
        <v>1732867023</v>
      </c>
      <c r="F5" s="61">
        <f t="shared" ref="F5:AQ5" si="0">SUM(F6:F14)</f>
        <v>2374477160</v>
      </c>
      <c r="G5" s="61">
        <f t="shared" si="0"/>
        <v>2374477160</v>
      </c>
      <c r="H5" s="61">
        <f t="shared" si="0"/>
        <v>0</v>
      </c>
      <c r="I5" s="61">
        <f t="shared" si="0"/>
        <v>1484000</v>
      </c>
      <c r="J5" s="61">
        <f t="shared" si="0"/>
        <v>1484000</v>
      </c>
      <c r="K5" s="61">
        <f t="shared" si="0"/>
        <v>0</v>
      </c>
      <c r="L5" s="61">
        <f t="shared" si="0"/>
        <v>630000</v>
      </c>
      <c r="M5" s="61">
        <f t="shared" si="0"/>
        <v>630000</v>
      </c>
      <c r="N5" s="61">
        <f t="shared" si="0"/>
        <v>2278940</v>
      </c>
      <c r="O5" s="61">
        <f t="shared" si="0"/>
        <v>2278944</v>
      </c>
      <c r="P5" s="356">
        <f t="shared" si="0"/>
        <v>2278944</v>
      </c>
      <c r="Q5" s="391">
        <f t="shared" si="0"/>
        <v>0</v>
      </c>
      <c r="R5" s="61">
        <f t="shared" si="0"/>
        <v>159364724</v>
      </c>
      <c r="S5" s="61">
        <f t="shared" si="0"/>
        <v>159364724</v>
      </c>
      <c r="T5" s="61">
        <f t="shared" si="0"/>
        <v>0</v>
      </c>
      <c r="U5" s="61">
        <f>SUM(U6:U14)</f>
        <v>8841120</v>
      </c>
      <c r="V5" s="61">
        <f t="shared" si="0"/>
        <v>8841120</v>
      </c>
      <c r="W5" s="61">
        <f t="shared" si="0"/>
        <v>0</v>
      </c>
      <c r="X5" s="61">
        <f t="shared" si="0"/>
        <v>7723234</v>
      </c>
      <c r="Y5" s="61">
        <f t="shared" si="0"/>
        <v>7723234</v>
      </c>
      <c r="Z5" s="61">
        <f t="shared" si="0"/>
        <v>0</v>
      </c>
      <c r="AA5" s="61">
        <f t="shared" si="0"/>
        <v>0</v>
      </c>
      <c r="AB5" s="356">
        <f t="shared" si="0"/>
        <v>0</v>
      </c>
      <c r="AC5" s="391">
        <f t="shared" si="0"/>
        <v>0</v>
      </c>
      <c r="AD5" s="61">
        <f t="shared" si="0"/>
        <v>0</v>
      </c>
      <c r="AE5" s="61">
        <f t="shared" si="0"/>
        <v>0</v>
      </c>
      <c r="AF5" s="61">
        <f t="shared" si="0"/>
        <v>0</v>
      </c>
      <c r="AG5" s="61">
        <f t="shared" si="0"/>
        <v>0</v>
      </c>
      <c r="AH5" s="61">
        <f t="shared" si="0"/>
        <v>0</v>
      </c>
      <c r="AI5" s="61">
        <f t="shared" si="0"/>
        <v>0</v>
      </c>
      <c r="AJ5" s="61">
        <f t="shared" si="0"/>
        <v>0</v>
      </c>
      <c r="AK5" s="61">
        <f t="shared" si="0"/>
        <v>0</v>
      </c>
      <c r="AL5" s="61">
        <f t="shared" si="0"/>
        <v>0</v>
      </c>
      <c r="AM5" s="61">
        <f t="shared" si="0"/>
        <v>0</v>
      </c>
      <c r="AN5" s="356">
        <f t="shared" si="0"/>
        <v>0</v>
      </c>
      <c r="AO5" s="712">
        <f t="shared" si="0"/>
        <v>1735145963</v>
      </c>
      <c r="AP5" s="712">
        <f t="shared" si="0"/>
        <v>2554799182</v>
      </c>
      <c r="AQ5" s="712">
        <f t="shared" si="0"/>
        <v>2554799182</v>
      </c>
    </row>
    <row r="6" spans="1:45" s="230" customFormat="1" ht="91.5" customHeight="1" x14ac:dyDescent="0.2">
      <c r="A6" s="53" t="s">
        <v>191</v>
      </c>
      <c r="B6" s="147">
        <v>501</v>
      </c>
      <c r="C6" s="275" t="s">
        <v>1539</v>
      </c>
      <c r="D6" s="283" t="s">
        <v>1439</v>
      </c>
      <c r="E6" s="284">
        <v>1732867023</v>
      </c>
      <c r="F6" s="284">
        <v>2374477160</v>
      </c>
      <c r="G6" s="284">
        <f>441479687+822257970+313135235+232116052+53165454+379812552+132510210</f>
        <v>2374477160</v>
      </c>
      <c r="H6" s="284"/>
      <c r="I6" s="284"/>
      <c r="J6" s="284"/>
      <c r="K6" s="284"/>
      <c r="L6" s="284"/>
      <c r="M6" s="284"/>
      <c r="N6" s="284"/>
      <c r="O6" s="284"/>
      <c r="P6" s="389"/>
      <c r="Q6" s="392"/>
      <c r="R6" s="284"/>
      <c r="S6" s="284"/>
      <c r="T6" s="284"/>
      <c r="U6" s="284"/>
      <c r="V6" s="284"/>
      <c r="W6" s="284"/>
      <c r="X6" s="284"/>
      <c r="Y6" s="284"/>
      <c r="Z6" s="284"/>
      <c r="AA6" s="284"/>
      <c r="AB6" s="389"/>
      <c r="AC6" s="392"/>
      <c r="AD6" s="284"/>
      <c r="AE6" s="284"/>
      <c r="AF6" s="284"/>
      <c r="AG6" s="284"/>
      <c r="AH6" s="284"/>
      <c r="AI6" s="284"/>
      <c r="AJ6" s="284"/>
      <c r="AK6" s="284"/>
      <c r="AL6" s="284"/>
      <c r="AM6" s="284"/>
      <c r="AN6" s="389"/>
      <c r="AO6" s="92">
        <f t="shared" ref="AO6:AO28" si="1">+E6+H6+K6+N6+Q6+AC6+AF6+AI6+AL6+T6+W6+Z6</f>
        <v>1732867023</v>
      </c>
      <c r="AP6" s="92">
        <f>+F6+I6+L6+O6+R6+AD6+AG6+AJ6+AM6+U6+X6+AA6</f>
        <v>2374477160</v>
      </c>
      <c r="AQ6" s="92">
        <f>+G6+J6+M6+P6+S6+AE6+AH6+AK6+AN6+V6+Y6+AB6</f>
        <v>2374477160</v>
      </c>
    </row>
    <row r="7" spans="1:45" ht="27" customHeight="1" x14ac:dyDescent="0.2">
      <c r="A7" s="54" t="s">
        <v>192</v>
      </c>
      <c r="B7" s="132">
        <v>501</v>
      </c>
      <c r="C7" s="114" t="s">
        <v>1440</v>
      </c>
      <c r="D7" s="613" t="s">
        <v>1441</v>
      </c>
      <c r="E7" s="124"/>
      <c r="F7" s="124">
        <f>16564354-16564354</f>
        <v>0</v>
      </c>
      <c r="G7" s="124"/>
      <c r="H7" s="124"/>
      <c r="I7" s="124"/>
      <c r="J7" s="124"/>
      <c r="K7" s="124"/>
      <c r="L7" s="124"/>
      <c r="M7" s="124"/>
      <c r="N7" s="124"/>
      <c r="O7" s="124"/>
      <c r="P7" s="302"/>
      <c r="Q7" s="266"/>
      <c r="R7" s="124"/>
      <c r="S7" s="124"/>
      <c r="T7" s="124"/>
      <c r="U7" s="124"/>
      <c r="V7" s="124"/>
      <c r="W7" s="124"/>
      <c r="X7" s="124"/>
      <c r="Y7" s="124"/>
      <c r="Z7" s="124"/>
      <c r="AA7" s="124"/>
      <c r="AB7" s="302"/>
      <c r="AC7" s="266"/>
      <c r="AD7" s="124"/>
      <c r="AE7" s="124"/>
      <c r="AF7" s="124"/>
      <c r="AG7" s="124"/>
      <c r="AH7" s="124"/>
      <c r="AI7" s="124"/>
      <c r="AJ7" s="124"/>
      <c r="AK7" s="124"/>
      <c r="AL7" s="124"/>
      <c r="AM7" s="124"/>
      <c r="AN7" s="302"/>
      <c r="AO7" s="92">
        <f t="shared" si="1"/>
        <v>0</v>
      </c>
      <c r="AP7" s="92">
        <f t="shared" ref="AP7:AP28" si="2">+F7+I7+L7+O7+R7+AD7+AG7+AJ7+AM7+U7+X7+AA7</f>
        <v>0</v>
      </c>
      <c r="AQ7" s="92">
        <f t="shared" ref="AQ7:AQ28" si="3">+G7+J7+M7+P7+S7+AE7+AH7+AK7+AN7+V7+Y7+AB7</f>
        <v>0</v>
      </c>
    </row>
    <row r="8" spans="1:45" ht="27" customHeight="1" x14ac:dyDescent="0.2">
      <c r="A8" s="54" t="s">
        <v>193</v>
      </c>
      <c r="B8" s="132" t="s">
        <v>150</v>
      </c>
      <c r="C8" s="114" t="s">
        <v>1440</v>
      </c>
      <c r="D8" s="613" t="s">
        <v>1442</v>
      </c>
      <c r="E8" s="124"/>
      <c r="F8" s="605"/>
      <c r="G8" s="605"/>
      <c r="H8" s="124"/>
      <c r="I8" s="124">
        <v>1484000</v>
      </c>
      <c r="J8" s="124">
        <v>1484000</v>
      </c>
      <c r="K8" s="124"/>
      <c r="L8" s="124"/>
      <c r="M8" s="124"/>
      <c r="N8" s="124"/>
      <c r="O8" s="124"/>
      <c r="P8" s="302"/>
      <c r="Q8" s="266"/>
      <c r="R8" s="124"/>
      <c r="S8" s="124"/>
      <c r="T8" s="124"/>
      <c r="U8" s="124"/>
      <c r="V8" s="124"/>
      <c r="W8" s="124"/>
      <c r="X8" s="124"/>
      <c r="Y8" s="124"/>
      <c r="Z8" s="124"/>
      <c r="AA8" s="124"/>
      <c r="AB8" s="302"/>
      <c r="AC8" s="266"/>
      <c r="AD8" s="124"/>
      <c r="AE8" s="124"/>
      <c r="AF8" s="124"/>
      <c r="AG8" s="124"/>
      <c r="AH8" s="124"/>
      <c r="AI8" s="124"/>
      <c r="AJ8" s="124"/>
      <c r="AK8" s="124"/>
      <c r="AL8" s="124"/>
      <c r="AM8" s="124"/>
      <c r="AN8" s="302"/>
      <c r="AO8" s="92">
        <f t="shared" si="1"/>
        <v>0</v>
      </c>
      <c r="AP8" s="92">
        <f t="shared" si="2"/>
        <v>1484000</v>
      </c>
      <c r="AQ8" s="92">
        <f t="shared" si="3"/>
        <v>1484000</v>
      </c>
    </row>
    <row r="9" spans="1:45" ht="27" customHeight="1" x14ac:dyDescent="0.2">
      <c r="A9" s="54" t="s">
        <v>194</v>
      </c>
      <c r="B9" s="132">
        <v>310</v>
      </c>
      <c r="C9" s="114" t="s">
        <v>1440</v>
      </c>
      <c r="D9" s="613" t="s">
        <v>1443</v>
      </c>
      <c r="E9" s="124"/>
      <c r="F9" s="124"/>
      <c r="G9" s="124"/>
      <c r="H9" s="124"/>
      <c r="I9" s="124"/>
      <c r="J9" s="124"/>
      <c r="K9" s="124"/>
      <c r="L9" s="124">
        <v>630000</v>
      </c>
      <c r="M9" s="124">
        <v>630000</v>
      </c>
      <c r="N9" s="124"/>
      <c r="O9" s="124"/>
      <c r="P9" s="302"/>
      <c r="Q9" s="266"/>
      <c r="R9" s="124"/>
      <c r="S9" s="124"/>
      <c r="T9" s="124"/>
      <c r="U9" s="124"/>
      <c r="V9" s="124"/>
      <c r="W9" s="124"/>
      <c r="X9" s="124"/>
      <c r="Y9" s="124"/>
      <c r="Z9" s="124"/>
      <c r="AA9" s="124"/>
      <c r="AB9" s="302"/>
      <c r="AC9" s="266"/>
      <c r="AD9" s="124"/>
      <c r="AE9" s="124"/>
      <c r="AF9" s="124"/>
      <c r="AG9" s="124"/>
      <c r="AH9" s="124"/>
      <c r="AI9" s="124"/>
      <c r="AJ9" s="124"/>
      <c r="AK9" s="124"/>
      <c r="AL9" s="124"/>
      <c r="AM9" s="124"/>
      <c r="AN9" s="302"/>
      <c r="AO9" s="92">
        <f t="shared" si="1"/>
        <v>0</v>
      </c>
      <c r="AP9" s="92">
        <f t="shared" si="2"/>
        <v>630000</v>
      </c>
      <c r="AQ9" s="92">
        <f t="shared" si="3"/>
        <v>630000</v>
      </c>
    </row>
    <row r="10" spans="1:45" ht="27" customHeight="1" x14ac:dyDescent="0.2">
      <c r="A10" s="54" t="s">
        <v>195</v>
      </c>
      <c r="B10" s="132">
        <v>313</v>
      </c>
      <c r="C10" s="114" t="s">
        <v>1440</v>
      </c>
      <c r="D10" s="613" t="s">
        <v>1444</v>
      </c>
      <c r="E10" s="124"/>
      <c r="F10" s="124"/>
      <c r="G10" s="124"/>
      <c r="H10" s="124"/>
      <c r="I10" s="124"/>
      <c r="J10" s="124"/>
      <c r="K10" s="124"/>
      <c r="L10" s="124"/>
      <c r="M10" s="124"/>
      <c r="N10" s="124">
        <v>2278940</v>
      </c>
      <c r="O10" s="124">
        <v>2278944</v>
      </c>
      <c r="P10" s="302">
        <f>569736+569736+569736+569736</f>
        <v>2278944</v>
      </c>
      <c r="Q10" s="266"/>
      <c r="R10" s="124"/>
      <c r="S10" s="124"/>
      <c r="T10" s="124"/>
      <c r="U10" s="124"/>
      <c r="V10" s="124"/>
      <c r="W10" s="124"/>
      <c r="X10" s="124"/>
      <c r="Y10" s="124"/>
      <c r="Z10" s="124"/>
      <c r="AA10" s="124"/>
      <c r="AB10" s="302"/>
      <c r="AC10" s="266"/>
      <c r="AD10" s="124"/>
      <c r="AE10" s="124"/>
      <c r="AF10" s="124"/>
      <c r="AG10" s="124"/>
      <c r="AH10" s="124"/>
      <c r="AI10" s="124"/>
      <c r="AJ10" s="124"/>
      <c r="AK10" s="124"/>
      <c r="AL10" s="124"/>
      <c r="AM10" s="124"/>
      <c r="AN10" s="302"/>
      <c r="AO10" s="92">
        <f t="shared" si="1"/>
        <v>2278940</v>
      </c>
      <c r="AP10" s="92">
        <f t="shared" si="2"/>
        <v>2278944</v>
      </c>
      <c r="AQ10" s="92">
        <f t="shared" si="3"/>
        <v>2278944</v>
      </c>
      <c r="AS10" s="47">
        <f>2310961-AQ10</f>
        <v>32017</v>
      </c>
    </row>
    <row r="11" spans="1:45" ht="27" customHeight="1" x14ac:dyDescent="0.2">
      <c r="A11" s="54" t="s">
        <v>196</v>
      </c>
      <c r="B11" s="132">
        <v>317</v>
      </c>
      <c r="C11" s="114" t="s">
        <v>1440</v>
      </c>
      <c r="D11" s="613" t="s">
        <v>1445</v>
      </c>
      <c r="E11" s="124"/>
      <c r="F11" s="124"/>
      <c r="G11" s="124"/>
      <c r="H11" s="124"/>
      <c r="I11" s="124"/>
      <c r="J11" s="124"/>
      <c r="K11" s="124"/>
      <c r="L11" s="124"/>
      <c r="M11" s="124"/>
      <c r="N11" s="124"/>
      <c r="O11" s="124"/>
      <c r="P11" s="302"/>
      <c r="Q11" s="266"/>
      <c r="R11" s="124">
        <v>32017</v>
      </c>
      <c r="S11" s="124">
        <v>32017</v>
      </c>
      <c r="T11" s="124"/>
      <c r="U11" s="124"/>
      <c r="V11" s="124"/>
      <c r="W11" s="124"/>
      <c r="X11" s="124"/>
      <c r="Y11" s="124"/>
      <c r="Z11" s="124"/>
      <c r="AA11" s="124"/>
      <c r="AB11" s="302"/>
      <c r="AC11" s="266"/>
      <c r="AD11" s="124"/>
      <c r="AE11" s="124"/>
      <c r="AF11" s="124"/>
      <c r="AG11" s="124"/>
      <c r="AH11" s="124"/>
      <c r="AI11" s="124"/>
      <c r="AJ11" s="124"/>
      <c r="AK11" s="124"/>
      <c r="AL11" s="124"/>
      <c r="AM11" s="124"/>
      <c r="AN11" s="302"/>
      <c r="AO11" s="92">
        <f t="shared" si="1"/>
        <v>0</v>
      </c>
      <c r="AP11" s="92">
        <f t="shared" si="2"/>
        <v>32017</v>
      </c>
      <c r="AQ11" s="92">
        <f t="shared" si="3"/>
        <v>32017</v>
      </c>
    </row>
    <row r="12" spans="1:45" ht="27" customHeight="1" x14ac:dyDescent="0.2">
      <c r="A12" s="54" t="s">
        <v>197</v>
      </c>
      <c r="B12" s="289" t="s">
        <v>644</v>
      </c>
      <c r="C12" s="114" t="s">
        <v>1440</v>
      </c>
      <c r="D12" s="613" t="s">
        <v>1458</v>
      </c>
      <c r="E12" s="124"/>
      <c r="F12" s="124"/>
      <c r="G12" s="124"/>
      <c r="H12" s="124"/>
      <c r="I12" s="124"/>
      <c r="J12" s="124"/>
      <c r="K12" s="124"/>
      <c r="L12" s="124"/>
      <c r="M12" s="124"/>
      <c r="N12" s="124"/>
      <c r="O12" s="124"/>
      <c r="P12" s="302"/>
      <c r="Q12" s="266"/>
      <c r="R12" s="124"/>
      <c r="S12" s="124"/>
      <c r="T12" s="124"/>
      <c r="U12" s="124">
        <v>8841120</v>
      </c>
      <c r="V12" s="124">
        <v>8841120</v>
      </c>
      <c r="W12" s="124"/>
      <c r="X12" s="124"/>
      <c r="Y12" s="124"/>
      <c r="Z12" s="124"/>
      <c r="AA12" s="124"/>
      <c r="AB12" s="302"/>
      <c r="AC12" s="266"/>
      <c r="AD12" s="124"/>
      <c r="AE12" s="124"/>
      <c r="AF12" s="124"/>
      <c r="AG12" s="124"/>
      <c r="AH12" s="124"/>
      <c r="AI12" s="124"/>
      <c r="AJ12" s="124"/>
      <c r="AK12" s="124"/>
      <c r="AL12" s="124"/>
      <c r="AM12" s="124"/>
      <c r="AN12" s="302"/>
      <c r="AO12" s="92">
        <f t="shared" si="1"/>
        <v>0</v>
      </c>
      <c r="AP12" s="92">
        <f t="shared" si="2"/>
        <v>8841120</v>
      </c>
      <c r="AQ12" s="92">
        <f t="shared" si="3"/>
        <v>8841120</v>
      </c>
    </row>
    <row r="13" spans="1:45" ht="29.25" customHeight="1" x14ac:dyDescent="0.2">
      <c r="A13" s="54" t="s">
        <v>198</v>
      </c>
      <c r="B13" s="289" t="s">
        <v>1455</v>
      </c>
      <c r="C13" s="114" t="s">
        <v>1440</v>
      </c>
      <c r="D13" s="613" t="s">
        <v>1459</v>
      </c>
      <c r="E13" s="124"/>
      <c r="F13" s="124"/>
      <c r="G13" s="124"/>
      <c r="H13" s="124"/>
      <c r="I13" s="124"/>
      <c r="J13" s="124"/>
      <c r="K13" s="124"/>
      <c r="L13" s="124"/>
      <c r="M13" s="124"/>
      <c r="N13" s="124"/>
      <c r="O13" s="124"/>
      <c r="P13" s="302"/>
      <c r="Q13" s="266"/>
      <c r="R13" s="124"/>
      <c r="S13" s="124"/>
      <c r="T13" s="124"/>
      <c r="U13" s="124"/>
      <c r="V13" s="124"/>
      <c r="W13" s="124"/>
      <c r="X13" s="124">
        <v>7723234</v>
      </c>
      <c r="Y13" s="124">
        <v>7723234</v>
      </c>
      <c r="Z13" s="124"/>
      <c r="AA13" s="124"/>
      <c r="AB13" s="302"/>
      <c r="AC13" s="266"/>
      <c r="AD13" s="124"/>
      <c r="AE13" s="124"/>
      <c r="AF13" s="124"/>
      <c r="AG13" s="124"/>
      <c r="AH13" s="124"/>
      <c r="AI13" s="124"/>
      <c r="AJ13" s="124"/>
      <c r="AK13" s="124"/>
      <c r="AL13" s="124"/>
      <c r="AM13" s="124"/>
      <c r="AN13" s="302"/>
      <c r="AO13" s="92">
        <f t="shared" si="1"/>
        <v>0</v>
      </c>
      <c r="AP13" s="92">
        <f t="shared" si="2"/>
        <v>7723234</v>
      </c>
      <c r="AQ13" s="92">
        <f t="shared" si="3"/>
        <v>7723234</v>
      </c>
    </row>
    <row r="14" spans="1:45" ht="29.25" customHeight="1" x14ac:dyDescent="0.2">
      <c r="A14" s="138" t="s">
        <v>199</v>
      </c>
      <c r="B14" s="323" t="s">
        <v>150</v>
      </c>
      <c r="C14" s="144" t="s">
        <v>1456</v>
      </c>
      <c r="D14" s="142" t="s">
        <v>1457</v>
      </c>
      <c r="E14" s="141"/>
      <c r="F14" s="141"/>
      <c r="G14" s="141"/>
      <c r="H14" s="141"/>
      <c r="I14" s="141"/>
      <c r="J14" s="141"/>
      <c r="K14" s="141"/>
      <c r="L14" s="141"/>
      <c r="M14" s="141"/>
      <c r="N14" s="141"/>
      <c r="O14" s="141"/>
      <c r="P14" s="328"/>
      <c r="Q14" s="325"/>
      <c r="R14" s="141">
        <v>159332707</v>
      </c>
      <c r="S14" s="141">
        <v>159332707</v>
      </c>
      <c r="T14" s="141"/>
      <c r="U14" s="141"/>
      <c r="V14" s="141"/>
      <c r="W14" s="141"/>
      <c r="X14" s="141"/>
      <c r="Y14" s="141"/>
      <c r="Z14" s="141"/>
      <c r="AA14" s="141"/>
      <c r="AB14" s="328"/>
      <c r="AC14" s="325"/>
      <c r="AD14" s="141"/>
      <c r="AE14" s="141"/>
      <c r="AF14" s="141"/>
      <c r="AG14" s="141"/>
      <c r="AH14" s="141"/>
      <c r="AI14" s="141"/>
      <c r="AJ14" s="141"/>
      <c r="AK14" s="141"/>
      <c r="AL14" s="141"/>
      <c r="AM14" s="141"/>
      <c r="AN14" s="328"/>
      <c r="AO14" s="92">
        <f t="shared" si="1"/>
        <v>0</v>
      </c>
      <c r="AP14" s="92">
        <f t="shared" si="2"/>
        <v>159332707</v>
      </c>
      <c r="AQ14" s="92">
        <f t="shared" si="3"/>
        <v>159332707</v>
      </c>
    </row>
    <row r="15" spans="1:45" s="38" customFormat="1" ht="20.25" customHeight="1" x14ac:dyDescent="0.2">
      <c r="A15" s="1126" t="s">
        <v>60</v>
      </c>
      <c r="B15" s="1127"/>
      <c r="C15" s="1127"/>
      <c r="D15" s="1127"/>
      <c r="E15" s="61">
        <f>+E16+E19+E21+E23+E26</f>
        <v>0</v>
      </c>
      <c r="F15" s="61">
        <f t="shared" ref="F15:AN15" si="4">+F16+F19+F21+F23+F26</f>
        <v>0</v>
      </c>
      <c r="G15" s="61">
        <f t="shared" si="4"/>
        <v>0</v>
      </c>
      <c r="H15" s="61">
        <f t="shared" si="4"/>
        <v>0</v>
      </c>
      <c r="I15" s="61">
        <f t="shared" si="4"/>
        <v>0</v>
      </c>
      <c r="J15" s="61">
        <f t="shared" si="4"/>
        <v>0</v>
      </c>
      <c r="K15" s="61">
        <f t="shared" si="4"/>
        <v>0</v>
      </c>
      <c r="L15" s="61">
        <f t="shared" si="4"/>
        <v>0</v>
      </c>
      <c r="M15" s="61">
        <f t="shared" si="4"/>
        <v>0</v>
      </c>
      <c r="N15" s="61">
        <f t="shared" si="4"/>
        <v>0</v>
      </c>
      <c r="O15" s="61">
        <f t="shared" si="4"/>
        <v>0</v>
      </c>
      <c r="P15" s="61">
        <f t="shared" si="4"/>
        <v>0</v>
      </c>
      <c r="Q15" s="61">
        <f t="shared" si="4"/>
        <v>0</v>
      </c>
      <c r="R15" s="61">
        <f t="shared" si="4"/>
        <v>0</v>
      </c>
      <c r="S15" s="61">
        <f t="shared" si="4"/>
        <v>0</v>
      </c>
      <c r="T15" s="61">
        <f t="shared" si="4"/>
        <v>0</v>
      </c>
      <c r="U15" s="61">
        <f t="shared" si="4"/>
        <v>350000</v>
      </c>
      <c r="V15" s="61">
        <f t="shared" si="4"/>
        <v>350000</v>
      </c>
      <c r="W15" s="61">
        <f t="shared" si="4"/>
        <v>0</v>
      </c>
      <c r="X15" s="61">
        <f t="shared" si="4"/>
        <v>0</v>
      </c>
      <c r="Y15" s="61">
        <f t="shared" si="4"/>
        <v>0</v>
      </c>
      <c r="Z15" s="61">
        <f t="shared" si="4"/>
        <v>0</v>
      </c>
      <c r="AA15" s="61">
        <f t="shared" si="4"/>
        <v>18907521</v>
      </c>
      <c r="AB15" s="61">
        <f t="shared" si="4"/>
        <v>18907521</v>
      </c>
      <c r="AC15" s="61">
        <f t="shared" si="4"/>
        <v>0</v>
      </c>
      <c r="AD15" s="61">
        <f t="shared" si="4"/>
        <v>6609505</v>
      </c>
      <c r="AE15" s="61">
        <f t="shared" si="4"/>
        <v>6609505</v>
      </c>
      <c r="AF15" s="61">
        <f t="shared" si="4"/>
        <v>0</v>
      </c>
      <c r="AG15" s="61">
        <f t="shared" si="4"/>
        <v>700000</v>
      </c>
      <c r="AH15" s="61">
        <f t="shared" si="4"/>
        <v>700000</v>
      </c>
      <c r="AI15" s="61">
        <f t="shared" si="4"/>
        <v>85000000</v>
      </c>
      <c r="AJ15" s="61">
        <f t="shared" si="4"/>
        <v>107232400</v>
      </c>
      <c r="AK15" s="61">
        <f t="shared" si="4"/>
        <v>107232400</v>
      </c>
      <c r="AL15" s="61">
        <f t="shared" si="4"/>
        <v>2000000</v>
      </c>
      <c r="AM15" s="61">
        <f t="shared" si="4"/>
        <v>2000000</v>
      </c>
      <c r="AN15" s="61">
        <f t="shared" si="4"/>
        <v>1992000</v>
      </c>
      <c r="AO15" s="92">
        <f t="shared" si="1"/>
        <v>87000000</v>
      </c>
      <c r="AP15" s="92">
        <f t="shared" si="2"/>
        <v>135799426</v>
      </c>
      <c r="AQ15" s="92">
        <f t="shared" si="3"/>
        <v>135791426</v>
      </c>
    </row>
    <row r="16" spans="1:45" s="38" customFormat="1" ht="20.25" customHeight="1" x14ac:dyDescent="0.2">
      <c r="A16" s="1126" t="s">
        <v>468</v>
      </c>
      <c r="B16" s="1128"/>
      <c r="C16" s="1128"/>
      <c r="D16" s="1128"/>
      <c r="E16" s="61">
        <f>+E17+E18</f>
        <v>0</v>
      </c>
      <c r="F16" s="61">
        <f t="shared" ref="F16:AL16" si="5">+F17+F18</f>
        <v>0</v>
      </c>
      <c r="G16" s="61"/>
      <c r="H16" s="61">
        <f t="shared" si="5"/>
        <v>0</v>
      </c>
      <c r="I16" s="61">
        <f t="shared" si="5"/>
        <v>0</v>
      </c>
      <c r="J16" s="61"/>
      <c r="K16" s="61">
        <f t="shared" si="5"/>
        <v>0</v>
      </c>
      <c r="L16" s="61">
        <f t="shared" si="5"/>
        <v>0</v>
      </c>
      <c r="M16" s="61"/>
      <c r="N16" s="61">
        <f t="shared" si="5"/>
        <v>0</v>
      </c>
      <c r="O16" s="61">
        <f t="shared" si="5"/>
        <v>0</v>
      </c>
      <c r="P16" s="356"/>
      <c r="Q16" s="391">
        <f t="shared" si="5"/>
        <v>0</v>
      </c>
      <c r="R16" s="61">
        <f t="shared" si="5"/>
        <v>0</v>
      </c>
      <c r="S16" s="61"/>
      <c r="T16" s="61">
        <f t="shared" si="5"/>
        <v>0</v>
      </c>
      <c r="U16" s="61">
        <f t="shared" si="5"/>
        <v>0</v>
      </c>
      <c r="V16" s="61"/>
      <c r="W16" s="61">
        <f t="shared" si="5"/>
        <v>0</v>
      </c>
      <c r="X16" s="61">
        <f t="shared" si="5"/>
        <v>0</v>
      </c>
      <c r="Y16" s="61"/>
      <c r="Z16" s="61">
        <f t="shared" si="5"/>
        <v>0</v>
      </c>
      <c r="AA16" s="61">
        <f t="shared" si="5"/>
        <v>18907521</v>
      </c>
      <c r="AB16" s="61">
        <f t="shared" si="5"/>
        <v>18907521</v>
      </c>
      <c r="AC16" s="391">
        <f t="shared" si="5"/>
        <v>0</v>
      </c>
      <c r="AD16" s="61">
        <f t="shared" si="5"/>
        <v>6609505</v>
      </c>
      <c r="AE16" s="61">
        <f t="shared" si="5"/>
        <v>6609505</v>
      </c>
      <c r="AF16" s="61">
        <f t="shared" si="5"/>
        <v>0</v>
      </c>
      <c r="AG16" s="61">
        <f t="shared" si="5"/>
        <v>0</v>
      </c>
      <c r="AH16" s="61"/>
      <c r="AI16" s="61">
        <f t="shared" si="5"/>
        <v>0</v>
      </c>
      <c r="AJ16" s="61">
        <f t="shared" si="5"/>
        <v>0</v>
      </c>
      <c r="AK16" s="61"/>
      <c r="AL16" s="61">
        <f t="shared" si="5"/>
        <v>0</v>
      </c>
      <c r="AM16" s="394">
        <f>+AM17</f>
        <v>0</v>
      </c>
      <c r="AN16" s="386"/>
      <c r="AO16" s="92">
        <f t="shared" si="1"/>
        <v>0</v>
      </c>
      <c r="AP16" s="92">
        <f t="shared" si="2"/>
        <v>25517026</v>
      </c>
      <c r="AQ16" s="92">
        <f t="shared" si="3"/>
        <v>25517026</v>
      </c>
    </row>
    <row r="17" spans="1:43" ht="25.5" customHeight="1" x14ac:dyDescent="0.2">
      <c r="A17" s="53" t="s">
        <v>191</v>
      </c>
      <c r="B17" s="352" t="s">
        <v>149</v>
      </c>
      <c r="C17" s="272" t="s">
        <v>1440</v>
      </c>
      <c r="D17" s="557" t="s">
        <v>1446</v>
      </c>
      <c r="E17" s="284"/>
      <c r="F17" s="284"/>
      <c r="G17" s="284"/>
      <c r="H17" s="284"/>
      <c r="I17" s="284"/>
      <c r="J17" s="284"/>
      <c r="K17" s="284"/>
      <c r="L17" s="284"/>
      <c r="M17" s="284"/>
      <c r="N17" s="284"/>
      <c r="O17" s="284"/>
      <c r="P17" s="389"/>
      <c r="Q17" s="392"/>
      <c r="R17" s="284"/>
      <c r="S17" s="284"/>
      <c r="T17" s="284"/>
      <c r="U17" s="284"/>
      <c r="V17" s="284"/>
      <c r="W17" s="284"/>
      <c r="X17" s="284"/>
      <c r="Y17" s="284"/>
      <c r="Z17" s="284"/>
      <c r="AA17" s="284"/>
      <c r="AB17" s="389"/>
      <c r="AC17" s="392"/>
      <c r="AD17" s="284">
        <f>6385700+223805</f>
        <v>6609505</v>
      </c>
      <c r="AE17" s="284">
        <v>6609505</v>
      </c>
      <c r="AF17" s="284"/>
      <c r="AG17" s="284"/>
      <c r="AH17" s="284"/>
      <c r="AI17" s="284"/>
      <c r="AJ17" s="284"/>
      <c r="AK17" s="284"/>
      <c r="AL17" s="284"/>
      <c r="AM17" s="284"/>
      <c r="AN17" s="389"/>
      <c r="AO17" s="92">
        <f t="shared" si="1"/>
        <v>0</v>
      </c>
      <c r="AP17" s="92">
        <f t="shared" si="2"/>
        <v>6609505</v>
      </c>
      <c r="AQ17" s="92">
        <f t="shared" si="3"/>
        <v>6609505</v>
      </c>
    </row>
    <row r="18" spans="1:43" ht="25.5" customHeight="1" x14ac:dyDescent="0.2">
      <c r="A18" s="138" t="s">
        <v>192</v>
      </c>
      <c r="B18" s="323" t="s">
        <v>450</v>
      </c>
      <c r="C18" s="144" t="s">
        <v>1440</v>
      </c>
      <c r="D18" s="332" t="s">
        <v>1540</v>
      </c>
      <c r="E18" s="141"/>
      <c r="F18" s="141"/>
      <c r="G18" s="141"/>
      <c r="H18" s="141"/>
      <c r="I18" s="141"/>
      <c r="J18" s="141"/>
      <c r="K18" s="643"/>
      <c r="L18" s="141"/>
      <c r="M18" s="141"/>
      <c r="N18" s="141"/>
      <c r="O18" s="141"/>
      <c r="P18" s="328"/>
      <c r="Q18" s="325"/>
      <c r="R18" s="141"/>
      <c r="S18" s="141"/>
      <c r="T18" s="141"/>
      <c r="U18" s="141"/>
      <c r="V18" s="141"/>
      <c r="W18" s="141"/>
      <c r="X18" s="141"/>
      <c r="Y18" s="141"/>
      <c r="Z18" s="141"/>
      <c r="AA18" s="519">
        <v>18907521</v>
      </c>
      <c r="AB18" s="733">
        <f>16837942+2069579</f>
        <v>18907521</v>
      </c>
      <c r="AC18" s="325"/>
      <c r="AD18" s="141"/>
      <c r="AE18" s="141"/>
      <c r="AF18" s="141"/>
      <c r="AG18" s="141"/>
      <c r="AH18" s="141"/>
      <c r="AI18" s="141"/>
      <c r="AJ18" s="141"/>
      <c r="AK18" s="141"/>
      <c r="AL18" s="141"/>
      <c r="AM18" s="141"/>
      <c r="AN18" s="328"/>
      <c r="AO18" s="92">
        <f t="shared" si="1"/>
        <v>0</v>
      </c>
      <c r="AP18" s="92">
        <f t="shared" si="2"/>
        <v>18907521</v>
      </c>
      <c r="AQ18" s="92">
        <f t="shared" si="3"/>
        <v>18907521</v>
      </c>
    </row>
    <row r="19" spans="1:43" s="38" customFormat="1" ht="20.25" customHeight="1" x14ac:dyDescent="0.2">
      <c r="A19" s="1126" t="s">
        <v>24</v>
      </c>
      <c r="B19" s="1128"/>
      <c r="C19" s="1128"/>
      <c r="D19" s="1128"/>
      <c r="E19" s="61">
        <f>+E20</f>
        <v>0</v>
      </c>
      <c r="F19" s="61">
        <f t="shared" ref="F19:AM19" si="6">+F20</f>
        <v>0</v>
      </c>
      <c r="G19" s="61"/>
      <c r="H19" s="61">
        <f t="shared" si="6"/>
        <v>0</v>
      </c>
      <c r="I19" s="61">
        <f t="shared" si="6"/>
        <v>0</v>
      </c>
      <c r="J19" s="61"/>
      <c r="K19" s="61">
        <f t="shared" si="6"/>
        <v>0</v>
      </c>
      <c r="L19" s="61">
        <f t="shared" si="6"/>
        <v>0</v>
      </c>
      <c r="M19" s="61"/>
      <c r="N19" s="61">
        <f t="shared" si="6"/>
        <v>0</v>
      </c>
      <c r="O19" s="61">
        <f t="shared" si="6"/>
        <v>0</v>
      </c>
      <c r="P19" s="356"/>
      <c r="Q19" s="391">
        <f t="shared" si="6"/>
        <v>0</v>
      </c>
      <c r="R19" s="61">
        <f t="shared" si="6"/>
        <v>0</v>
      </c>
      <c r="S19" s="61"/>
      <c r="T19" s="61">
        <f t="shared" si="6"/>
        <v>0</v>
      </c>
      <c r="U19" s="61">
        <f t="shared" si="6"/>
        <v>0</v>
      </c>
      <c r="V19" s="61"/>
      <c r="W19" s="61">
        <f t="shared" si="6"/>
        <v>0</v>
      </c>
      <c r="X19" s="61">
        <f t="shared" si="6"/>
        <v>0</v>
      </c>
      <c r="Y19" s="61"/>
      <c r="Z19" s="61">
        <f t="shared" si="6"/>
        <v>0</v>
      </c>
      <c r="AA19" s="61">
        <f t="shared" si="6"/>
        <v>0</v>
      </c>
      <c r="AB19" s="356"/>
      <c r="AC19" s="391">
        <f t="shared" si="6"/>
        <v>0</v>
      </c>
      <c r="AD19" s="61">
        <f t="shared" si="6"/>
        <v>0</v>
      </c>
      <c r="AE19" s="61"/>
      <c r="AF19" s="61">
        <f t="shared" si="6"/>
        <v>0</v>
      </c>
      <c r="AG19" s="61">
        <f t="shared" si="6"/>
        <v>350000</v>
      </c>
      <c r="AH19" s="61">
        <f t="shared" si="6"/>
        <v>350000</v>
      </c>
      <c r="AI19" s="61">
        <f t="shared" si="6"/>
        <v>0</v>
      </c>
      <c r="AJ19" s="61">
        <f t="shared" si="6"/>
        <v>0</v>
      </c>
      <c r="AK19" s="61"/>
      <c r="AL19" s="61">
        <f t="shared" si="6"/>
        <v>0</v>
      </c>
      <c r="AM19" s="61">
        <f t="shared" si="6"/>
        <v>0</v>
      </c>
      <c r="AN19" s="356"/>
      <c r="AO19" s="92">
        <f t="shared" si="1"/>
        <v>0</v>
      </c>
      <c r="AP19" s="92">
        <f t="shared" si="2"/>
        <v>350000</v>
      </c>
      <c r="AQ19" s="92">
        <f t="shared" si="3"/>
        <v>350000</v>
      </c>
    </row>
    <row r="20" spans="1:43" ht="25.5" customHeight="1" x14ac:dyDescent="0.2">
      <c r="A20" s="689" t="s">
        <v>191</v>
      </c>
      <c r="B20" s="606" t="s">
        <v>148</v>
      </c>
      <c r="C20" s="690" t="s">
        <v>1440</v>
      </c>
      <c r="D20" s="582" t="s">
        <v>1447</v>
      </c>
      <c r="E20" s="61"/>
      <c r="F20" s="61"/>
      <c r="G20" s="61"/>
      <c r="H20" s="61"/>
      <c r="I20" s="61"/>
      <c r="J20" s="61"/>
      <c r="K20" s="61"/>
      <c r="L20" s="61"/>
      <c r="M20" s="61"/>
      <c r="N20" s="61"/>
      <c r="O20" s="61"/>
      <c r="P20" s="356"/>
      <c r="Q20" s="391"/>
      <c r="R20" s="61"/>
      <c r="S20" s="61"/>
      <c r="T20" s="61"/>
      <c r="U20" s="61"/>
      <c r="V20" s="61"/>
      <c r="W20" s="61"/>
      <c r="X20" s="61"/>
      <c r="Y20" s="61"/>
      <c r="Z20" s="61"/>
      <c r="AA20" s="61"/>
      <c r="AB20" s="356"/>
      <c r="AC20" s="391"/>
      <c r="AD20" s="61"/>
      <c r="AE20" s="61"/>
      <c r="AF20" s="61"/>
      <c r="AG20" s="146">
        <v>350000</v>
      </c>
      <c r="AH20" s="146">
        <v>350000</v>
      </c>
      <c r="AI20" s="146"/>
      <c r="AJ20" s="146"/>
      <c r="AK20" s="146"/>
      <c r="AL20" s="146"/>
      <c r="AM20" s="146"/>
      <c r="AN20" s="393"/>
      <c r="AO20" s="92">
        <f t="shared" si="1"/>
        <v>0</v>
      </c>
      <c r="AP20" s="92">
        <f t="shared" si="2"/>
        <v>350000</v>
      </c>
      <c r="AQ20" s="92">
        <f t="shared" si="3"/>
        <v>350000</v>
      </c>
    </row>
    <row r="21" spans="1:43" s="38" customFormat="1" ht="20.25" customHeight="1" x14ac:dyDescent="0.2">
      <c r="A21" s="1126" t="s">
        <v>87</v>
      </c>
      <c r="B21" s="1128"/>
      <c r="C21" s="1128"/>
      <c r="D21" s="1128"/>
      <c r="E21" s="61">
        <f>+E22</f>
        <v>0</v>
      </c>
      <c r="F21" s="61">
        <f t="shared" ref="F21:AM21" si="7">+F22</f>
        <v>0</v>
      </c>
      <c r="G21" s="61"/>
      <c r="H21" s="61">
        <f t="shared" si="7"/>
        <v>0</v>
      </c>
      <c r="I21" s="61">
        <f t="shared" si="7"/>
        <v>0</v>
      </c>
      <c r="J21" s="61"/>
      <c r="K21" s="61">
        <f t="shared" si="7"/>
        <v>0</v>
      </c>
      <c r="L21" s="61">
        <f t="shared" si="7"/>
        <v>0</v>
      </c>
      <c r="M21" s="61"/>
      <c r="N21" s="61">
        <f t="shared" si="7"/>
        <v>0</v>
      </c>
      <c r="O21" s="61">
        <f t="shared" si="7"/>
        <v>0</v>
      </c>
      <c r="P21" s="356"/>
      <c r="Q21" s="391">
        <f t="shared" si="7"/>
        <v>0</v>
      </c>
      <c r="R21" s="61">
        <f t="shared" si="7"/>
        <v>0</v>
      </c>
      <c r="S21" s="61"/>
      <c r="T21" s="61">
        <f t="shared" si="7"/>
        <v>0</v>
      </c>
      <c r="U21" s="61">
        <f t="shared" si="7"/>
        <v>0</v>
      </c>
      <c r="V21" s="61"/>
      <c r="W21" s="61">
        <f t="shared" si="7"/>
        <v>0</v>
      </c>
      <c r="X21" s="61">
        <f t="shared" si="7"/>
        <v>0</v>
      </c>
      <c r="Y21" s="61"/>
      <c r="Z21" s="61">
        <f t="shared" si="7"/>
        <v>0</v>
      </c>
      <c r="AA21" s="61">
        <f t="shared" si="7"/>
        <v>0</v>
      </c>
      <c r="AB21" s="356"/>
      <c r="AC21" s="391">
        <f t="shared" si="7"/>
        <v>0</v>
      </c>
      <c r="AD21" s="61">
        <f t="shared" si="7"/>
        <v>0</v>
      </c>
      <c r="AE21" s="61"/>
      <c r="AF21" s="61">
        <f t="shared" si="7"/>
        <v>0</v>
      </c>
      <c r="AG21" s="61">
        <f t="shared" si="7"/>
        <v>350000</v>
      </c>
      <c r="AH21" s="61">
        <f t="shared" si="7"/>
        <v>350000</v>
      </c>
      <c r="AI21" s="61">
        <f t="shared" si="7"/>
        <v>0</v>
      </c>
      <c r="AJ21" s="61">
        <f t="shared" si="7"/>
        <v>0</v>
      </c>
      <c r="AK21" s="61"/>
      <c r="AL21" s="61">
        <f t="shared" si="7"/>
        <v>0</v>
      </c>
      <c r="AM21" s="61">
        <f t="shared" si="7"/>
        <v>0</v>
      </c>
      <c r="AN21" s="356"/>
      <c r="AO21" s="92">
        <f t="shared" si="1"/>
        <v>0</v>
      </c>
      <c r="AP21" s="92">
        <f t="shared" si="2"/>
        <v>350000</v>
      </c>
      <c r="AQ21" s="92">
        <f t="shared" si="3"/>
        <v>350000</v>
      </c>
    </row>
    <row r="22" spans="1:43" ht="25.5" customHeight="1" x14ac:dyDescent="0.2">
      <c r="A22" s="689" t="s">
        <v>191</v>
      </c>
      <c r="B22" s="606" t="s">
        <v>129</v>
      </c>
      <c r="C22" s="690" t="s">
        <v>1440</v>
      </c>
      <c r="D22" s="582" t="s">
        <v>1447</v>
      </c>
      <c r="E22" s="146"/>
      <c r="F22" s="146"/>
      <c r="G22" s="146"/>
      <c r="H22" s="146"/>
      <c r="I22" s="146"/>
      <c r="J22" s="146"/>
      <c r="K22" s="146"/>
      <c r="L22" s="146"/>
      <c r="M22" s="146"/>
      <c r="N22" s="146"/>
      <c r="O22" s="146"/>
      <c r="P22" s="393"/>
      <c r="Q22" s="625"/>
      <c r="R22" s="146"/>
      <c r="S22" s="146"/>
      <c r="T22" s="146"/>
      <c r="U22" s="146"/>
      <c r="V22" s="146"/>
      <c r="W22" s="146"/>
      <c r="X22" s="146"/>
      <c r="Y22" s="146"/>
      <c r="Z22" s="146"/>
      <c r="AA22" s="146"/>
      <c r="AB22" s="393"/>
      <c r="AC22" s="625"/>
      <c r="AD22" s="146"/>
      <c r="AE22" s="146"/>
      <c r="AF22" s="146"/>
      <c r="AG22" s="146">
        <v>350000</v>
      </c>
      <c r="AH22" s="146">
        <v>350000</v>
      </c>
      <c r="AI22" s="146"/>
      <c r="AJ22" s="146"/>
      <c r="AK22" s="146"/>
      <c r="AL22" s="146"/>
      <c r="AM22" s="146"/>
      <c r="AN22" s="393"/>
      <c r="AO22" s="92">
        <f t="shared" si="1"/>
        <v>0</v>
      </c>
      <c r="AP22" s="92">
        <f t="shared" si="2"/>
        <v>350000</v>
      </c>
      <c r="AQ22" s="92">
        <f t="shared" si="3"/>
        <v>350000</v>
      </c>
    </row>
    <row r="23" spans="1:43" s="38" customFormat="1" ht="20.25" customHeight="1" x14ac:dyDescent="0.2">
      <c r="A23" s="1126" t="s">
        <v>25</v>
      </c>
      <c r="B23" s="1128"/>
      <c r="C23" s="1128"/>
      <c r="D23" s="1128"/>
      <c r="E23" s="61">
        <f>+E24+E25</f>
        <v>0</v>
      </c>
      <c r="F23" s="61">
        <f t="shared" ref="F23:AN23" si="8">+F24+F25</f>
        <v>0</v>
      </c>
      <c r="G23" s="61"/>
      <c r="H23" s="61">
        <f t="shared" si="8"/>
        <v>0</v>
      </c>
      <c r="I23" s="61">
        <f t="shared" si="8"/>
        <v>0</v>
      </c>
      <c r="J23" s="61"/>
      <c r="K23" s="61">
        <f t="shared" si="8"/>
        <v>0</v>
      </c>
      <c r="L23" s="61">
        <f t="shared" si="8"/>
        <v>0</v>
      </c>
      <c r="M23" s="61"/>
      <c r="N23" s="61">
        <f t="shared" si="8"/>
        <v>0</v>
      </c>
      <c r="O23" s="61">
        <f t="shared" si="8"/>
        <v>0</v>
      </c>
      <c r="P23" s="356"/>
      <c r="Q23" s="391">
        <f t="shared" si="8"/>
        <v>0</v>
      </c>
      <c r="R23" s="61">
        <f t="shared" si="8"/>
        <v>0</v>
      </c>
      <c r="S23" s="61"/>
      <c r="T23" s="61">
        <f t="shared" si="8"/>
        <v>0</v>
      </c>
      <c r="U23" s="61">
        <f t="shared" si="8"/>
        <v>0</v>
      </c>
      <c r="V23" s="61"/>
      <c r="W23" s="61">
        <f t="shared" si="8"/>
        <v>0</v>
      </c>
      <c r="X23" s="61">
        <f t="shared" si="8"/>
        <v>0</v>
      </c>
      <c r="Y23" s="61"/>
      <c r="Z23" s="61">
        <f t="shared" si="8"/>
        <v>0</v>
      </c>
      <c r="AA23" s="61">
        <f t="shared" si="8"/>
        <v>0</v>
      </c>
      <c r="AB23" s="356"/>
      <c r="AC23" s="391">
        <f t="shared" si="8"/>
        <v>0</v>
      </c>
      <c r="AD23" s="61">
        <f t="shared" si="8"/>
        <v>0</v>
      </c>
      <c r="AE23" s="61"/>
      <c r="AF23" s="61">
        <f t="shared" si="8"/>
        <v>0</v>
      </c>
      <c r="AG23" s="61">
        <f t="shared" si="8"/>
        <v>0</v>
      </c>
      <c r="AH23" s="61"/>
      <c r="AI23" s="61">
        <f t="shared" si="8"/>
        <v>85000000</v>
      </c>
      <c r="AJ23" s="61">
        <f t="shared" si="8"/>
        <v>107232400</v>
      </c>
      <c r="AK23" s="61">
        <f t="shared" si="8"/>
        <v>107232400</v>
      </c>
      <c r="AL23" s="61">
        <f t="shared" si="8"/>
        <v>2000000</v>
      </c>
      <c r="AM23" s="61">
        <f t="shared" si="8"/>
        <v>2000000</v>
      </c>
      <c r="AN23" s="356">
        <f t="shared" si="8"/>
        <v>1992000</v>
      </c>
      <c r="AO23" s="92">
        <f t="shared" si="1"/>
        <v>87000000</v>
      </c>
      <c r="AP23" s="92">
        <f t="shared" si="2"/>
        <v>109232400</v>
      </c>
      <c r="AQ23" s="92">
        <f t="shared" si="3"/>
        <v>109224400</v>
      </c>
    </row>
    <row r="24" spans="1:43" ht="27.75" customHeight="1" x14ac:dyDescent="0.2">
      <c r="A24" s="53" t="s">
        <v>191</v>
      </c>
      <c r="B24" s="352" t="s">
        <v>149</v>
      </c>
      <c r="C24" s="272" t="s">
        <v>1440</v>
      </c>
      <c r="D24" s="557" t="s">
        <v>1448</v>
      </c>
      <c r="E24" s="284"/>
      <c r="F24" s="284"/>
      <c r="G24" s="284"/>
      <c r="H24" s="284"/>
      <c r="I24" s="284"/>
      <c r="J24" s="284"/>
      <c r="K24" s="284"/>
      <c r="L24" s="284"/>
      <c r="M24" s="284"/>
      <c r="N24" s="284"/>
      <c r="O24" s="284"/>
      <c r="P24" s="389"/>
      <c r="Q24" s="392"/>
      <c r="R24" s="284"/>
      <c r="S24" s="284"/>
      <c r="T24" s="284"/>
      <c r="U24" s="284"/>
      <c r="V24" s="284"/>
      <c r="W24" s="284"/>
      <c r="X24" s="284"/>
      <c r="Y24" s="284"/>
      <c r="Z24" s="284"/>
      <c r="AA24" s="284"/>
      <c r="AB24" s="389"/>
      <c r="AC24" s="392"/>
      <c r="AD24" s="284"/>
      <c r="AE24" s="284"/>
      <c r="AF24" s="284"/>
      <c r="AG24" s="284"/>
      <c r="AH24" s="284"/>
      <c r="AI24" s="284">
        <v>85000000</v>
      </c>
      <c r="AJ24" s="284">
        <v>107232400</v>
      </c>
      <c r="AK24" s="284">
        <f>52923400+9058200+9134300+8966100+27150400</f>
        <v>107232400</v>
      </c>
      <c r="AL24" s="284"/>
      <c r="AM24" s="284"/>
      <c r="AN24" s="389"/>
      <c r="AO24" s="92">
        <f t="shared" si="1"/>
        <v>85000000</v>
      </c>
      <c r="AP24" s="92">
        <f t="shared" si="2"/>
        <v>107232400</v>
      </c>
      <c r="AQ24" s="92">
        <f t="shared" si="3"/>
        <v>107232400</v>
      </c>
    </row>
    <row r="25" spans="1:43" ht="25.5" customHeight="1" x14ac:dyDescent="0.2">
      <c r="A25" s="138" t="s">
        <v>192</v>
      </c>
      <c r="B25" s="323" t="s">
        <v>65</v>
      </c>
      <c r="C25" s="144" t="s">
        <v>1440</v>
      </c>
      <c r="D25" s="332" t="s">
        <v>1449</v>
      </c>
      <c r="E25" s="141"/>
      <c r="F25" s="141"/>
      <c r="G25" s="141"/>
      <c r="H25" s="141"/>
      <c r="I25" s="141"/>
      <c r="J25" s="141"/>
      <c r="K25" s="141"/>
      <c r="L25" s="141"/>
      <c r="M25" s="141"/>
      <c r="N25" s="141"/>
      <c r="O25" s="141"/>
      <c r="P25" s="328"/>
      <c r="Q25" s="325"/>
      <c r="R25" s="141"/>
      <c r="S25" s="141"/>
      <c r="T25" s="141"/>
      <c r="U25" s="141"/>
      <c r="V25" s="141"/>
      <c r="W25" s="141"/>
      <c r="X25" s="141"/>
      <c r="Y25" s="141"/>
      <c r="Z25" s="141"/>
      <c r="AA25" s="141"/>
      <c r="AB25" s="328"/>
      <c r="AC25" s="325"/>
      <c r="AD25" s="141"/>
      <c r="AE25" s="141"/>
      <c r="AF25" s="141"/>
      <c r="AG25" s="141"/>
      <c r="AH25" s="141"/>
      <c r="AI25" s="141"/>
      <c r="AJ25" s="141"/>
      <c r="AK25" s="141"/>
      <c r="AL25" s="141">
        <v>2000000</v>
      </c>
      <c r="AM25" s="141">
        <v>2000000</v>
      </c>
      <c r="AN25" s="328">
        <f>166000+166000+166000+166000+166000+166000+166000+166000+166000+166000+166000+166000</f>
        <v>1992000</v>
      </c>
      <c r="AO25" s="92">
        <f t="shared" si="1"/>
        <v>2000000</v>
      </c>
      <c r="AP25" s="92">
        <f t="shared" si="2"/>
        <v>2000000</v>
      </c>
      <c r="AQ25" s="92">
        <f t="shared" si="3"/>
        <v>1992000</v>
      </c>
    </row>
    <row r="26" spans="1:43" ht="21" customHeight="1" x14ac:dyDescent="0.2">
      <c r="A26" s="1126" t="s">
        <v>2089</v>
      </c>
      <c r="B26" s="1128"/>
      <c r="C26" s="1128"/>
      <c r="D26" s="1128"/>
      <c r="E26" s="269">
        <f>SUM(E27)</f>
        <v>0</v>
      </c>
      <c r="F26" s="269">
        <f t="shared" ref="F26:AN26" si="9">SUM(F27)</f>
        <v>0</v>
      </c>
      <c r="G26" s="269">
        <f t="shared" si="9"/>
        <v>0</v>
      </c>
      <c r="H26" s="269">
        <f t="shared" si="9"/>
        <v>0</v>
      </c>
      <c r="I26" s="269">
        <f t="shared" si="9"/>
        <v>0</v>
      </c>
      <c r="J26" s="269">
        <f t="shared" si="9"/>
        <v>0</v>
      </c>
      <c r="K26" s="269">
        <f t="shared" si="9"/>
        <v>0</v>
      </c>
      <c r="L26" s="269">
        <f t="shared" si="9"/>
        <v>0</v>
      </c>
      <c r="M26" s="269">
        <f t="shared" si="9"/>
        <v>0</v>
      </c>
      <c r="N26" s="269">
        <f t="shared" si="9"/>
        <v>0</v>
      </c>
      <c r="O26" s="269">
        <f t="shared" si="9"/>
        <v>0</v>
      </c>
      <c r="P26" s="269">
        <f t="shared" si="9"/>
        <v>0</v>
      </c>
      <c r="Q26" s="269">
        <f t="shared" si="9"/>
        <v>0</v>
      </c>
      <c r="R26" s="269">
        <f t="shared" si="9"/>
        <v>0</v>
      </c>
      <c r="S26" s="269">
        <f t="shared" si="9"/>
        <v>0</v>
      </c>
      <c r="T26" s="269">
        <f t="shared" si="9"/>
        <v>0</v>
      </c>
      <c r="U26" s="269">
        <f t="shared" si="9"/>
        <v>350000</v>
      </c>
      <c r="V26" s="269">
        <f t="shared" si="9"/>
        <v>350000</v>
      </c>
      <c r="W26" s="269">
        <f t="shared" si="9"/>
        <v>0</v>
      </c>
      <c r="X26" s="269">
        <f t="shared" si="9"/>
        <v>0</v>
      </c>
      <c r="Y26" s="269">
        <f t="shared" si="9"/>
        <v>0</v>
      </c>
      <c r="Z26" s="269">
        <f t="shared" si="9"/>
        <v>0</v>
      </c>
      <c r="AA26" s="269">
        <f t="shared" si="9"/>
        <v>0</v>
      </c>
      <c r="AB26" s="269">
        <f t="shared" si="9"/>
        <v>0</v>
      </c>
      <c r="AC26" s="269">
        <f t="shared" si="9"/>
        <v>0</v>
      </c>
      <c r="AD26" s="269">
        <f t="shared" si="9"/>
        <v>0</v>
      </c>
      <c r="AE26" s="269">
        <f t="shared" si="9"/>
        <v>0</v>
      </c>
      <c r="AF26" s="269">
        <f t="shared" si="9"/>
        <v>0</v>
      </c>
      <c r="AG26" s="269">
        <f t="shared" si="9"/>
        <v>0</v>
      </c>
      <c r="AH26" s="269">
        <f t="shared" si="9"/>
        <v>0</v>
      </c>
      <c r="AI26" s="269">
        <f t="shared" si="9"/>
        <v>0</v>
      </c>
      <c r="AJ26" s="269">
        <f t="shared" si="9"/>
        <v>0</v>
      </c>
      <c r="AK26" s="269">
        <f t="shared" si="9"/>
        <v>0</v>
      </c>
      <c r="AL26" s="269">
        <f t="shared" si="9"/>
        <v>0</v>
      </c>
      <c r="AM26" s="269">
        <f t="shared" si="9"/>
        <v>0</v>
      </c>
      <c r="AN26" s="269">
        <f t="shared" si="9"/>
        <v>0</v>
      </c>
      <c r="AO26" s="92">
        <f t="shared" ref="AO26:AQ27" si="10">+E26+H26+K26+N26+Q26+AC26+AF26+AI26+AL26+T26+W26+Z26</f>
        <v>0</v>
      </c>
      <c r="AP26" s="92">
        <f t="shared" si="10"/>
        <v>350000</v>
      </c>
      <c r="AQ26" s="92">
        <f t="shared" si="10"/>
        <v>350000</v>
      </c>
    </row>
    <row r="27" spans="1:43" ht="30" customHeight="1" x14ac:dyDescent="0.2">
      <c r="A27" s="200" t="s">
        <v>191</v>
      </c>
      <c r="B27" s="813" t="s">
        <v>129</v>
      </c>
      <c r="C27" s="814" t="s">
        <v>1440</v>
      </c>
      <c r="D27" s="582" t="s">
        <v>2090</v>
      </c>
      <c r="E27" s="269"/>
      <c r="F27" s="269"/>
      <c r="G27" s="269"/>
      <c r="H27" s="269"/>
      <c r="I27" s="269"/>
      <c r="J27" s="269"/>
      <c r="K27" s="269"/>
      <c r="L27" s="269"/>
      <c r="M27" s="269"/>
      <c r="N27" s="269"/>
      <c r="O27" s="269"/>
      <c r="P27" s="815"/>
      <c r="Q27" s="816"/>
      <c r="R27" s="269"/>
      <c r="S27" s="269"/>
      <c r="T27" s="269"/>
      <c r="U27" s="269">
        <v>350000</v>
      </c>
      <c r="V27" s="269">
        <v>350000</v>
      </c>
      <c r="W27" s="269"/>
      <c r="X27" s="269"/>
      <c r="Y27" s="269"/>
      <c r="Z27" s="269"/>
      <c r="AA27" s="269"/>
      <c r="AB27" s="815"/>
      <c r="AC27" s="816"/>
      <c r="AD27" s="269"/>
      <c r="AE27" s="269"/>
      <c r="AF27" s="269"/>
      <c r="AG27" s="269"/>
      <c r="AH27" s="269"/>
      <c r="AI27" s="269"/>
      <c r="AJ27" s="269"/>
      <c r="AK27" s="269"/>
      <c r="AL27" s="269"/>
      <c r="AM27" s="269"/>
      <c r="AN27" s="815"/>
      <c r="AO27" s="92">
        <f t="shared" si="10"/>
        <v>0</v>
      </c>
      <c r="AP27" s="92">
        <f t="shared" si="10"/>
        <v>350000</v>
      </c>
      <c r="AQ27" s="92">
        <f t="shared" si="10"/>
        <v>350000</v>
      </c>
    </row>
    <row r="28" spans="1:43" ht="31.5" customHeight="1" x14ac:dyDescent="0.2">
      <c r="A28" s="1143" t="s">
        <v>29</v>
      </c>
      <c r="B28" s="1144"/>
      <c r="C28" s="1144"/>
      <c r="D28" s="1144"/>
      <c r="E28" s="61">
        <f t="shared" ref="E28:AN28" si="11">+E5+E15</f>
        <v>1732867023</v>
      </c>
      <c r="F28" s="61">
        <f t="shared" si="11"/>
        <v>2374477160</v>
      </c>
      <c r="G28" s="61">
        <f t="shared" si="11"/>
        <v>2374477160</v>
      </c>
      <c r="H28" s="61">
        <f t="shared" si="11"/>
        <v>0</v>
      </c>
      <c r="I28" s="61">
        <f t="shared" si="11"/>
        <v>1484000</v>
      </c>
      <c r="J28" s="61">
        <f t="shared" si="11"/>
        <v>1484000</v>
      </c>
      <c r="K28" s="61">
        <f t="shared" si="11"/>
        <v>0</v>
      </c>
      <c r="L28" s="61">
        <f t="shared" si="11"/>
        <v>630000</v>
      </c>
      <c r="M28" s="61">
        <f t="shared" si="11"/>
        <v>630000</v>
      </c>
      <c r="N28" s="61">
        <f t="shared" si="11"/>
        <v>2278940</v>
      </c>
      <c r="O28" s="61">
        <f t="shared" si="11"/>
        <v>2278944</v>
      </c>
      <c r="P28" s="356">
        <f t="shared" si="11"/>
        <v>2278944</v>
      </c>
      <c r="Q28" s="391">
        <f t="shared" si="11"/>
        <v>0</v>
      </c>
      <c r="R28" s="61">
        <f t="shared" si="11"/>
        <v>159364724</v>
      </c>
      <c r="S28" s="61">
        <f t="shared" si="11"/>
        <v>159364724</v>
      </c>
      <c r="T28" s="61">
        <f t="shared" si="11"/>
        <v>0</v>
      </c>
      <c r="U28" s="61">
        <f t="shared" si="11"/>
        <v>9191120</v>
      </c>
      <c r="V28" s="61">
        <f t="shared" si="11"/>
        <v>9191120</v>
      </c>
      <c r="W28" s="61">
        <f t="shared" si="11"/>
        <v>0</v>
      </c>
      <c r="X28" s="61">
        <f t="shared" si="11"/>
        <v>7723234</v>
      </c>
      <c r="Y28" s="61">
        <f t="shared" si="11"/>
        <v>7723234</v>
      </c>
      <c r="Z28" s="61">
        <f t="shared" si="11"/>
        <v>0</v>
      </c>
      <c r="AA28" s="61">
        <f t="shared" si="11"/>
        <v>18907521</v>
      </c>
      <c r="AB28" s="356">
        <f t="shared" si="11"/>
        <v>18907521</v>
      </c>
      <c r="AC28" s="391">
        <f t="shared" si="11"/>
        <v>0</v>
      </c>
      <c r="AD28" s="61">
        <f t="shared" si="11"/>
        <v>6609505</v>
      </c>
      <c r="AE28" s="61">
        <f t="shared" si="11"/>
        <v>6609505</v>
      </c>
      <c r="AF28" s="61">
        <f t="shared" si="11"/>
        <v>0</v>
      </c>
      <c r="AG28" s="61">
        <f t="shared" si="11"/>
        <v>700000</v>
      </c>
      <c r="AH28" s="61">
        <f t="shared" si="11"/>
        <v>700000</v>
      </c>
      <c r="AI28" s="61">
        <f t="shared" si="11"/>
        <v>85000000</v>
      </c>
      <c r="AJ28" s="61">
        <f t="shared" si="11"/>
        <v>107232400</v>
      </c>
      <c r="AK28" s="61">
        <f t="shared" si="11"/>
        <v>107232400</v>
      </c>
      <c r="AL28" s="61">
        <f t="shared" si="11"/>
        <v>2000000</v>
      </c>
      <c r="AM28" s="61">
        <f t="shared" si="11"/>
        <v>2000000</v>
      </c>
      <c r="AN28" s="356">
        <f t="shared" si="11"/>
        <v>1992000</v>
      </c>
      <c r="AO28" s="92">
        <f t="shared" si="1"/>
        <v>1822145963</v>
      </c>
      <c r="AP28" s="92">
        <f t="shared" si="2"/>
        <v>2690598608</v>
      </c>
      <c r="AQ28" s="92">
        <f t="shared" si="3"/>
        <v>2690590608</v>
      </c>
    </row>
    <row r="29" spans="1:43" x14ac:dyDescent="0.2">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Q29" s="47">
        <f>1354516403-AQ28</f>
        <v>-1336074205</v>
      </c>
    </row>
    <row r="30" spans="1:43" x14ac:dyDescent="0.2">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row>
    <row r="31" spans="1:43" x14ac:dyDescent="0.2">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row>
    <row r="32" spans="1:43" x14ac:dyDescent="0.2">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row>
    <row r="33" spans="5:40" x14ac:dyDescent="0.2">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row>
    <row r="34" spans="5:40" x14ac:dyDescent="0.2">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row>
  </sheetData>
  <mergeCells count="29">
    <mergeCell ref="Q1:AB1"/>
    <mergeCell ref="AC1:AN1"/>
    <mergeCell ref="AO1:AQ1"/>
    <mergeCell ref="E1:P1"/>
    <mergeCell ref="A28:D28"/>
    <mergeCell ref="A5:D5"/>
    <mergeCell ref="A15:D15"/>
    <mergeCell ref="A16:D16"/>
    <mergeCell ref="A19:D19"/>
    <mergeCell ref="A21:D21"/>
    <mergeCell ref="A23:D23"/>
    <mergeCell ref="A3:A4"/>
    <mergeCell ref="B3:B4"/>
    <mergeCell ref="C3:C4"/>
    <mergeCell ref="D3:D4"/>
    <mergeCell ref="E4:G4"/>
    <mergeCell ref="A26:D26"/>
    <mergeCell ref="AL4:AN4"/>
    <mergeCell ref="AO4:AQ4"/>
    <mergeCell ref="W4:Y4"/>
    <mergeCell ref="Z4:AB4"/>
    <mergeCell ref="AC4:AE4"/>
    <mergeCell ref="AF4:AH4"/>
    <mergeCell ref="AI4:AK4"/>
    <mergeCell ref="H4:J4"/>
    <mergeCell ref="K4:M4"/>
    <mergeCell ref="N4:P4"/>
    <mergeCell ref="Q4:S4"/>
    <mergeCell ref="T4:V4"/>
  </mergeCells>
  <printOptions horizontalCentered="1" verticalCentered="1"/>
  <pageMargins left="0.31496062992125984" right="0.31496062992125984" top="0.74803149606299213" bottom="0.74803149606299213" header="0.31496062992125984" footer="0.31496062992125984"/>
  <pageSetup paperSize="9" scale="47" orientation="landscape" r:id="rId1"/>
  <headerFooter>
    <oddHeader>&amp;C2022. évi zárszámadás&amp;R&amp;A</oddHeader>
    <oddFooter>&amp;C&amp;P/&amp;N</oddFooter>
  </headerFooter>
  <colBreaks count="2" manualBreakCount="2">
    <brk id="16" max="25" man="1"/>
    <brk id="28" max="2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79998168889431442"/>
  </sheetPr>
  <dimension ref="A1:S22"/>
  <sheetViews>
    <sheetView view="pageLayout" zoomScaleNormal="100" zoomScaleSheetLayoutView="100" workbookViewId="0">
      <selection activeCell="G6" sqref="G6"/>
    </sheetView>
  </sheetViews>
  <sheetFormatPr defaultColWidth="9.140625" defaultRowHeight="12.75" x14ac:dyDescent="0.2"/>
  <cols>
    <col min="1" max="1" width="3.7109375" style="18" customWidth="1"/>
    <col min="2" max="2" width="4" style="18" customWidth="1"/>
    <col min="3" max="3" width="5" style="18" customWidth="1"/>
    <col min="4" max="4" width="45.7109375" style="18" customWidth="1"/>
    <col min="5" max="5" width="14.7109375" style="18" customWidth="1"/>
    <col min="6" max="8" width="14.28515625" style="18" customWidth="1"/>
    <col min="9" max="10" width="14.42578125" style="18" customWidth="1"/>
    <col min="11" max="11" width="14.5703125" style="18" customWidth="1"/>
    <col min="12" max="12" width="14.7109375" style="18" customWidth="1"/>
    <col min="13" max="13" width="15.28515625" style="18" customWidth="1"/>
    <col min="14" max="15" width="15" style="18" customWidth="1"/>
    <col min="16" max="16384" width="9.140625" style="18"/>
  </cols>
  <sheetData>
    <row r="1" spans="1:19" ht="23.25" customHeight="1" x14ac:dyDescent="0.2">
      <c r="A1" s="1133" t="s">
        <v>1049</v>
      </c>
      <c r="B1" s="1133"/>
      <c r="C1" s="1133"/>
      <c r="D1" s="1133"/>
      <c r="E1" s="1133"/>
      <c r="F1" s="1133"/>
      <c r="G1" s="1133"/>
      <c r="H1" s="1133"/>
      <c r="I1" s="1133"/>
      <c r="J1" s="1133"/>
      <c r="K1" s="1133"/>
      <c r="L1" s="1133"/>
      <c r="M1" s="1133"/>
      <c r="N1" s="1133"/>
      <c r="O1" s="1133"/>
    </row>
    <row r="2" spans="1:19" ht="18.75" customHeight="1" x14ac:dyDescent="0.25">
      <c r="A2" s="355"/>
      <c r="B2" s="1147"/>
      <c r="C2" s="1147"/>
      <c r="D2" s="1147"/>
      <c r="E2" s="1147"/>
      <c r="F2" s="1147"/>
      <c r="G2" s="1147"/>
      <c r="H2" s="1147"/>
      <c r="I2" s="1147"/>
      <c r="J2" s="1147"/>
      <c r="K2" s="1147"/>
      <c r="L2" s="1147"/>
      <c r="M2" s="1147"/>
      <c r="O2" s="105" t="s">
        <v>415</v>
      </c>
    </row>
    <row r="3" spans="1:19" ht="33.75" customHeight="1" x14ac:dyDescent="0.2">
      <c r="A3" s="1131" t="s">
        <v>53</v>
      </c>
      <c r="B3" s="1131" t="s">
        <v>647</v>
      </c>
      <c r="C3" s="1131" t="s">
        <v>55</v>
      </c>
      <c r="D3" s="1129" t="s">
        <v>2</v>
      </c>
      <c r="E3" s="384" t="s">
        <v>274</v>
      </c>
      <c r="F3" s="521" t="s">
        <v>1074</v>
      </c>
      <c r="G3" s="521" t="s">
        <v>1546</v>
      </c>
      <c r="H3" s="384" t="s">
        <v>274</v>
      </c>
      <c r="I3" s="521" t="s">
        <v>1074</v>
      </c>
      <c r="J3" s="521" t="s">
        <v>1546</v>
      </c>
      <c r="K3" s="521" t="s">
        <v>274</v>
      </c>
      <c r="L3" s="514" t="s">
        <v>1074</v>
      </c>
      <c r="M3" s="645" t="s">
        <v>274</v>
      </c>
      <c r="N3" s="645" t="s">
        <v>1074</v>
      </c>
      <c r="O3" s="645" t="s">
        <v>1546</v>
      </c>
    </row>
    <row r="4" spans="1:19" ht="83.25" customHeight="1" x14ac:dyDescent="0.2">
      <c r="A4" s="1132"/>
      <c r="B4" s="1132"/>
      <c r="C4" s="1132"/>
      <c r="D4" s="1130"/>
      <c r="E4" s="1288" t="s">
        <v>1612</v>
      </c>
      <c r="F4" s="1289"/>
      <c r="G4" s="1290"/>
      <c r="H4" s="1121" t="s">
        <v>1623</v>
      </c>
      <c r="I4" s="1122"/>
      <c r="J4" s="1123"/>
      <c r="K4" s="686" t="s">
        <v>1</v>
      </c>
      <c r="L4" s="397" t="s">
        <v>1</v>
      </c>
      <c r="M4" s="1239" t="s">
        <v>115</v>
      </c>
      <c r="N4" s="1240"/>
      <c r="O4" s="1241"/>
    </row>
    <row r="5" spans="1:19" s="38" customFormat="1" ht="22.5" customHeight="1" x14ac:dyDescent="0.2">
      <c r="A5" s="1126" t="s">
        <v>58</v>
      </c>
      <c r="B5" s="1127"/>
      <c r="C5" s="1127"/>
      <c r="D5" s="1127"/>
      <c r="E5" s="61">
        <f>SUM(E6:E12)</f>
        <v>0</v>
      </c>
      <c r="F5" s="61">
        <f t="shared" ref="F5:L5" si="0">SUM(F6:F12)</f>
        <v>4690003</v>
      </c>
      <c r="G5" s="61">
        <f t="shared" si="0"/>
        <v>4690003</v>
      </c>
      <c r="H5" s="61">
        <f t="shared" si="0"/>
        <v>0</v>
      </c>
      <c r="I5" s="61">
        <f t="shared" si="0"/>
        <v>49565206</v>
      </c>
      <c r="J5" s="61">
        <f t="shared" si="0"/>
        <v>49565206</v>
      </c>
      <c r="K5" s="61">
        <f>SUM(K6:K12)</f>
        <v>0</v>
      </c>
      <c r="L5" s="394">
        <f t="shared" si="0"/>
        <v>0</v>
      </c>
      <c r="M5" s="92">
        <f>+E5+H5+K5</f>
        <v>0</v>
      </c>
      <c r="N5" s="92">
        <f>+F5+I5+L5</f>
        <v>54255209</v>
      </c>
      <c r="O5" s="92">
        <f>+G5+J5</f>
        <v>54255209</v>
      </c>
    </row>
    <row r="6" spans="1:19" s="230" customFormat="1" ht="30" customHeight="1" x14ac:dyDescent="0.2">
      <c r="A6" s="53" t="s">
        <v>191</v>
      </c>
      <c r="B6" s="147">
        <v>150</v>
      </c>
      <c r="C6" s="272" t="s">
        <v>1366</v>
      </c>
      <c r="D6" s="283" t="s">
        <v>1343</v>
      </c>
      <c r="E6" s="284"/>
      <c r="F6" s="284">
        <v>4690003</v>
      </c>
      <c r="G6" s="284">
        <v>4690003</v>
      </c>
      <c r="H6" s="284"/>
      <c r="I6" s="284"/>
      <c r="J6" s="284"/>
      <c r="K6" s="284"/>
      <c r="L6" s="389"/>
      <c r="M6" s="92">
        <f t="shared" ref="M6:M16" si="1">+E6+H6+K6</f>
        <v>0</v>
      </c>
      <c r="N6" s="92">
        <f t="shared" ref="N6:N15" si="2">+F6+I6+L6</f>
        <v>4690003</v>
      </c>
      <c r="O6" s="92">
        <f>+G6+J6</f>
        <v>4690003</v>
      </c>
    </row>
    <row r="7" spans="1:19" ht="27" customHeight="1" x14ac:dyDescent="0.35">
      <c r="A7" s="54" t="s">
        <v>192</v>
      </c>
      <c r="B7" s="132">
        <v>140</v>
      </c>
      <c r="C7" s="114" t="s">
        <v>2068</v>
      </c>
      <c r="D7" s="388" t="s">
        <v>2070</v>
      </c>
      <c r="E7" s="124"/>
      <c r="F7" s="124"/>
      <c r="G7" s="124"/>
      <c r="H7" s="124"/>
      <c r="I7" s="124">
        <v>49565206</v>
      </c>
      <c r="J7" s="124">
        <v>49565206</v>
      </c>
      <c r="K7" s="124"/>
      <c r="L7" s="302"/>
      <c r="M7" s="92">
        <f t="shared" si="1"/>
        <v>0</v>
      </c>
      <c r="N7" s="92">
        <f t="shared" si="2"/>
        <v>49565206</v>
      </c>
      <c r="O7" s="92">
        <f>+J7</f>
        <v>49565206</v>
      </c>
      <c r="P7" s="788"/>
      <c r="Q7" s="732"/>
      <c r="R7" s="732"/>
      <c r="S7" s="732"/>
    </row>
    <row r="8" spans="1:19" ht="24" customHeight="1" x14ac:dyDescent="0.2">
      <c r="A8" s="54"/>
      <c r="B8" s="132"/>
      <c r="C8" s="72"/>
      <c r="D8" s="387"/>
      <c r="E8" s="124"/>
      <c r="F8" s="124"/>
      <c r="G8" s="124"/>
      <c r="H8" s="124"/>
      <c r="I8" s="124"/>
      <c r="J8" s="124"/>
      <c r="K8" s="124"/>
      <c r="L8" s="302"/>
      <c r="M8" s="92">
        <f t="shared" si="1"/>
        <v>0</v>
      </c>
      <c r="N8" s="92">
        <f t="shared" si="2"/>
        <v>0</v>
      </c>
      <c r="O8" s="92"/>
    </row>
    <row r="9" spans="1:19" ht="25.5" customHeight="1" x14ac:dyDescent="0.2">
      <c r="A9" s="54"/>
      <c r="B9" s="132"/>
      <c r="C9" s="72"/>
      <c r="D9" s="388"/>
      <c r="E9" s="124"/>
      <c r="F9" s="124"/>
      <c r="G9" s="124"/>
      <c r="H9" s="124"/>
      <c r="I9" s="124"/>
      <c r="J9" s="124"/>
      <c r="K9" s="124"/>
      <c r="L9" s="302"/>
      <c r="M9" s="92">
        <f t="shared" si="1"/>
        <v>0</v>
      </c>
      <c r="N9" s="92">
        <f t="shared" si="2"/>
        <v>0</v>
      </c>
      <c r="O9" s="92"/>
    </row>
    <row r="10" spans="1:19" ht="25.5" customHeight="1" x14ac:dyDescent="0.2">
      <c r="A10" s="54"/>
      <c r="B10" s="132"/>
      <c r="C10" s="72"/>
      <c r="D10" s="388"/>
      <c r="E10" s="124"/>
      <c r="F10" s="124"/>
      <c r="G10" s="124"/>
      <c r="H10" s="124"/>
      <c r="I10" s="124"/>
      <c r="J10" s="124"/>
      <c r="K10" s="124"/>
      <c r="L10" s="302"/>
      <c r="M10" s="92">
        <f t="shared" si="1"/>
        <v>0</v>
      </c>
      <c r="N10" s="92">
        <f t="shared" si="2"/>
        <v>0</v>
      </c>
      <c r="O10" s="92"/>
    </row>
    <row r="11" spans="1:19" ht="22.5" customHeight="1" x14ac:dyDescent="0.2">
      <c r="A11" s="54"/>
      <c r="B11" s="132"/>
      <c r="C11" s="72"/>
      <c r="D11" s="388"/>
      <c r="E11" s="124"/>
      <c r="F11" s="124"/>
      <c r="G11" s="124"/>
      <c r="H11" s="124"/>
      <c r="I11" s="124"/>
      <c r="J11" s="124"/>
      <c r="K11" s="124"/>
      <c r="L11" s="302"/>
      <c r="M11" s="92">
        <f t="shared" si="1"/>
        <v>0</v>
      </c>
      <c r="N11" s="92">
        <f t="shared" si="2"/>
        <v>0</v>
      </c>
      <c r="O11" s="92"/>
    </row>
    <row r="12" spans="1:19" ht="21.75" customHeight="1" x14ac:dyDescent="0.2">
      <c r="A12" s="138"/>
      <c r="B12" s="324"/>
      <c r="C12" s="73"/>
      <c r="D12" s="332"/>
      <c r="E12" s="141"/>
      <c r="F12" s="141"/>
      <c r="G12" s="141"/>
      <c r="H12" s="350"/>
      <c r="I12" s="350"/>
      <c r="J12" s="350"/>
      <c r="K12" s="141"/>
      <c r="L12" s="328"/>
      <c r="M12" s="92">
        <f t="shared" si="1"/>
        <v>0</v>
      </c>
      <c r="N12" s="92">
        <f t="shared" si="2"/>
        <v>0</v>
      </c>
      <c r="O12" s="92"/>
    </row>
    <row r="13" spans="1:19" s="38" customFormat="1" ht="20.25" customHeight="1" x14ac:dyDescent="0.2">
      <c r="A13" s="1126" t="s">
        <v>60</v>
      </c>
      <c r="B13" s="1127"/>
      <c r="C13" s="1127"/>
      <c r="D13" s="1127"/>
      <c r="E13" s="61">
        <f>SUM(E15)</f>
        <v>0</v>
      </c>
      <c r="F13" s="61">
        <f t="shared" ref="F13:L13" si="3">SUM(F15)</f>
        <v>0</v>
      </c>
      <c r="G13" s="61"/>
      <c r="H13" s="61">
        <f t="shared" si="3"/>
        <v>0</v>
      </c>
      <c r="I13" s="61">
        <f t="shared" si="3"/>
        <v>0</v>
      </c>
      <c r="J13" s="61"/>
      <c r="K13" s="61">
        <f>SUM(K15)</f>
        <v>0</v>
      </c>
      <c r="L13" s="394">
        <f t="shared" si="3"/>
        <v>0</v>
      </c>
      <c r="M13" s="92">
        <f t="shared" si="1"/>
        <v>0</v>
      </c>
      <c r="N13" s="92">
        <f t="shared" si="2"/>
        <v>0</v>
      </c>
      <c r="O13" s="92"/>
    </row>
    <row r="14" spans="1:19" s="38" customFormat="1" ht="20.25" customHeight="1" x14ac:dyDescent="0.2">
      <c r="A14" s="1237" t="s">
        <v>468</v>
      </c>
      <c r="B14" s="1238"/>
      <c r="C14" s="1238"/>
      <c r="D14" s="1285"/>
      <c r="E14" s="1286"/>
      <c r="F14" s="1287"/>
      <c r="G14" s="1287"/>
      <c r="H14" s="1287"/>
      <c r="I14" s="1287"/>
      <c r="J14" s="1287"/>
      <c r="K14" s="1287"/>
      <c r="L14" s="1287"/>
      <c r="M14" s="92">
        <f t="shared" si="1"/>
        <v>0</v>
      </c>
      <c r="N14" s="92">
        <f t="shared" si="2"/>
        <v>0</v>
      </c>
      <c r="O14" s="92"/>
    </row>
    <row r="15" spans="1:19" ht="25.5" customHeight="1" x14ac:dyDescent="0.2">
      <c r="A15" s="200"/>
      <c r="B15" s="201"/>
      <c r="C15" s="267"/>
      <c r="D15" s="268"/>
      <c r="E15" s="269"/>
      <c r="F15" s="269"/>
      <c r="G15" s="269"/>
      <c r="H15" s="269"/>
      <c r="I15" s="269"/>
      <c r="J15" s="269"/>
      <c r="K15" s="269"/>
      <c r="L15" s="270"/>
      <c r="M15" s="92">
        <f t="shared" si="1"/>
        <v>0</v>
      </c>
      <c r="N15" s="92">
        <f t="shared" si="2"/>
        <v>0</v>
      </c>
      <c r="O15" s="92"/>
    </row>
    <row r="16" spans="1:19" ht="31.5" customHeight="1" x14ac:dyDescent="0.2">
      <c r="A16" s="1124" t="s">
        <v>29</v>
      </c>
      <c r="B16" s="1125"/>
      <c r="C16" s="1125"/>
      <c r="D16" s="1125"/>
      <c r="E16" s="61">
        <f>+E13+E5</f>
        <v>0</v>
      </c>
      <c r="F16" s="61">
        <f t="shared" ref="F16:L16" si="4">+F13+F5</f>
        <v>4690003</v>
      </c>
      <c r="G16" s="61">
        <f t="shared" si="4"/>
        <v>4690003</v>
      </c>
      <c r="H16" s="61">
        <f t="shared" si="4"/>
        <v>0</v>
      </c>
      <c r="I16" s="61">
        <f t="shared" si="4"/>
        <v>49565206</v>
      </c>
      <c r="J16" s="61">
        <f t="shared" si="4"/>
        <v>49565206</v>
      </c>
      <c r="K16" s="61">
        <f>+K13+K5</f>
        <v>0</v>
      </c>
      <c r="L16" s="356">
        <f t="shared" si="4"/>
        <v>0</v>
      </c>
      <c r="M16" s="92">
        <f t="shared" si="1"/>
        <v>0</v>
      </c>
      <c r="N16" s="92">
        <f>+F16+I16+L16</f>
        <v>54255209</v>
      </c>
      <c r="O16" s="92">
        <f>+G16+J16</f>
        <v>54255209</v>
      </c>
    </row>
    <row r="17" spans="5:12" x14ac:dyDescent="0.2">
      <c r="E17" s="39"/>
      <c r="F17" s="39"/>
      <c r="G17" s="39"/>
      <c r="H17" s="39"/>
      <c r="I17" s="39"/>
      <c r="J17" s="39"/>
      <c r="K17" s="39"/>
      <c r="L17" s="39"/>
    </row>
    <row r="18" spans="5:12" x14ac:dyDescent="0.2">
      <c r="E18" s="39"/>
      <c r="F18" s="39"/>
      <c r="G18" s="39"/>
      <c r="H18" s="39"/>
      <c r="I18" s="39"/>
      <c r="J18" s="39"/>
      <c r="K18" s="39"/>
      <c r="L18" s="39"/>
    </row>
    <row r="19" spans="5:12" x14ac:dyDescent="0.2">
      <c r="E19" s="39"/>
      <c r="F19" s="39"/>
      <c r="G19" s="39"/>
      <c r="H19" s="39"/>
      <c r="I19" s="39"/>
      <c r="J19" s="39"/>
      <c r="K19" s="39"/>
      <c r="L19" s="39"/>
    </row>
    <row r="20" spans="5:12" x14ac:dyDescent="0.2">
      <c r="E20" s="39"/>
      <c r="F20" s="39"/>
      <c r="G20" s="39"/>
      <c r="H20" s="39"/>
      <c r="I20" s="39"/>
      <c r="J20" s="39"/>
      <c r="K20" s="39"/>
      <c r="L20" s="39"/>
    </row>
    <row r="21" spans="5:12" x14ac:dyDescent="0.2">
      <c r="E21" s="39"/>
      <c r="F21" s="39"/>
      <c r="G21" s="39"/>
      <c r="H21" s="39"/>
      <c r="I21" s="39"/>
      <c r="J21" s="39"/>
      <c r="K21" s="39"/>
      <c r="L21" s="39"/>
    </row>
    <row r="22" spans="5:12" x14ac:dyDescent="0.2">
      <c r="E22" s="39"/>
      <c r="F22" s="39"/>
      <c r="G22" s="39"/>
      <c r="H22" s="39"/>
      <c r="I22" s="39"/>
      <c r="J22" s="39"/>
      <c r="K22" s="39"/>
      <c r="L22" s="39"/>
    </row>
  </sheetData>
  <mergeCells count="14">
    <mergeCell ref="A1:O1"/>
    <mergeCell ref="A16:D16"/>
    <mergeCell ref="B2:M2"/>
    <mergeCell ref="A5:D5"/>
    <mergeCell ref="A13:D13"/>
    <mergeCell ref="A14:D14"/>
    <mergeCell ref="E14:L14"/>
    <mergeCell ref="D3:D4"/>
    <mergeCell ref="C3:C4"/>
    <mergeCell ref="B3:B4"/>
    <mergeCell ref="A3:A4"/>
    <mergeCell ref="E4:G4"/>
    <mergeCell ref="M4:O4"/>
    <mergeCell ref="H4:J4"/>
  </mergeCells>
  <printOptions horizontalCentered="1" verticalCentered="1"/>
  <pageMargins left="0.31496062992125984" right="0.31496062992125984" top="0.74803149606299213" bottom="0.74803149606299213" header="0.31496062992125984" footer="0.31496062992125984"/>
  <pageSetup paperSize="9" scale="54" orientation="landscape" r:id="rId1"/>
  <headerFooter>
    <oddHeader>&amp;C2022. évi zárszámadás&amp;R&amp;A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79998168889431442"/>
  </sheetPr>
  <dimension ref="A1:Z25"/>
  <sheetViews>
    <sheetView view="pageLayout" topLeftCell="N1" zoomScaleNormal="100" zoomScaleSheetLayoutView="90" workbookViewId="0">
      <selection activeCell="V21" sqref="V21"/>
    </sheetView>
  </sheetViews>
  <sheetFormatPr defaultColWidth="9.140625" defaultRowHeight="12.75" x14ac:dyDescent="0.2"/>
  <cols>
    <col min="1" max="1" width="3.7109375" style="18" customWidth="1"/>
    <col min="2" max="2" width="4" style="18" customWidth="1"/>
    <col min="3" max="3" width="5" style="18" customWidth="1"/>
    <col min="4" max="4" width="45.7109375" style="18" customWidth="1"/>
    <col min="5" max="13" width="15.7109375" style="18" customWidth="1"/>
    <col min="14" max="22" width="15.5703125" style="18" customWidth="1"/>
    <col min="23" max="23" width="15.28515625" style="18" customWidth="1"/>
    <col min="24" max="24" width="16.140625" style="18" customWidth="1"/>
    <col min="25" max="25" width="17" style="18" customWidth="1"/>
    <col min="26" max="16384" width="9.140625" style="18"/>
  </cols>
  <sheetData>
    <row r="1" spans="1:26" ht="23.25" customHeight="1" x14ac:dyDescent="0.2">
      <c r="A1" s="727"/>
      <c r="B1" s="727"/>
      <c r="C1" s="727"/>
      <c r="D1" s="727"/>
      <c r="E1" s="1133" t="s">
        <v>889</v>
      </c>
      <c r="F1" s="1133"/>
      <c r="G1" s="1133"/>
      <c r="H1" s="1133"/>
      <c r="I1" s="1133"/>
      <c r="J1" s="1133"/>
      <c r="K1" s="1133"/>
      <c r="L1" s="1133"/>
      <c r="M1" s="1133"/>
      <c r="N1" s="1133" t="s">
        <v>889</v>
      </c>
      <c r="O1" s="1133"/>
      <c r="P1" s="1133"/>
      <c r="Q1" s="1133"/>
      <c r="R1" s="1133"/>
      <c r="S1" s="1133"/>
      <c r="T1" s="1133"/>
      <c r="U1" s="1133"/>
      <c r="V1" s="1133"/>
      <c r="W1" s="1133"/>
      <c r="X1" s="1133"/>
      <c r="Y1" s="1133"/>
    </row>
    <row r="2" spans="1:26" ht="12.75" customHeight="1" x14ac:dyDescent="0.25">
      <c r="A2" s="355"/>
      <c r="B2" s="1147"/>
      <c r="C2" s="1147"/>
      <c r="D2" s="1147"/>
      <c r="E2" s="1147"/>
      <c r="F2" s="1147"/>
      <c r="G2" s="1147"/>
      <c r="H2" s="1147"/>
      <c r="I2" s="1147"/>
      <c r="J2" s="1147"/>
      <c r="K2" s="1147"/>
      <c r="L2" s="1147"/>
      <c r="M2" s="1147"/>
      <c r="N2" s="1147"/>
      <c r="O2" s="1147"/>
      <c r="P2" s="1147"/>
      <c r="Q2" s="1147"/>
      <c r="R2" s="1147"/>
      <c r="S2" s="1147"/>
      <c r="T2" s="1147"/>
      <c r="U2" s="1147"/>
      <c r="V2" s="1147"/>
      <c r="W2" s="1147"/>
      <c r="Y2" s="105" t="s">
        <v>415</v>
      </c>
    </row>
    <row r="3" spans="1:26" ht="34.5" customHeight="1" x14ac:dyDescent="0.2">
      <c r="A3" s="1131" t="s">
        <v>53</v>
      </c>
      <c r="B3" s="1131" t="s">
        <v>647</v>
      </c>
      <c r="C3" s="1131" t="s">
        <v>55</v>
      </c>
      <c r="D3" s="1129" t="s">
        <v>2</v>
      </c>
      <c r="E3" s="384" t="s">
        <v>274</v>
      </c>
      <c r="F3" s="521" t="s">
        <v>1074</v>
      </c>
      <c r="G3" s="522" t="s">
        <v>1546</v>
      </c>
      <c r="H3" s="384" t="s">
        <v>274</v>
      </c>
      <c r="I3" s="521" t="s">
        <v>1074</v>
      </c>
      <c r="J3" s="522" t="s">
        <v>1546</v>
      </c>
      <c r="K3" s="384" t="s">
        <v>274</v>
      </c>
      <c r="L3" s="521" t="s">
        <v>1074</v>
      </c>
      <c r="M3" s="522" t="s">
        <v>1546</v>
      </c>
      <c r="N3" s="384" t="s">
        <v>274</v>
      </c>
      <c r="O3" s="521" t="s">
        <v>1074</v>
      </c>
      <c r="P3" s="522" t="s">
        <v>1546</v>
      </c>
      <c r="Q3" s="384" t="s">
        <v>274</v>
      </c>
      <c r="R3" s="521" t="s">
        <v>1074</v>
      </c>
      <c r="S3" s="522" t="s">
        <v>1546</v>
      </c>
      <c r="T3" s="384" t="s">
        <v>274</v>
      </c>
      <c r="U3" s="521" t="s">
        <v>1074</v>
      </c>
      <c r="V3" s="522" t="s">
        <v>1546</v>
      </c>
      <c r="W3" s="390" t="s">
        <v>274</v>
      </c>
      <c r="X3" s="521" t="s">
        <v>1074</v>
      </c>
      <c r="Y3" s="522" t="s">
        <v>1546</v>
      </c>
    </row>
    <row r="4" spans="1:26" ht="105.75" customHeight="1" x14ac:dyDescent="0.2">
      <c r="A4" s="1132"/>
      <c r="B4" s="1132"/>
      <c r="C4" s="1132"/>
      <c r="D4" s="1130"/>
      <c r="E4" s="1291" t="s">
        <v>787</v>
      </c>
      <c r="F4" s="1177"/>
      <c r="G4" s="1178"/>
      <c r="H4" s="731" t="s">
        <v>249</v>
      </c>
      <c r="I4" s="701" t="s">
        <v>2071</v>
      </c>
      <c r="J4" s="701" t="s">
        <v>2071</v>
      </c>
      <c r="K4" s="1291" t="s">
        <v>2059</v>
      </c>
      <c r="L4" s="1177"/>
      <c r="M4" s="1178"/>
      <c r="N4" s="1291" t="s">
        <v>134</v>
      </c>
      <c r="O4" s="1177" t="s">
        <v>134</v>
      </c>
      <c r="P4" s="1178"/>
      <c r="Q4" s="1291" t="s">
        <v>2060</v>
      </c>
      <c r="R4" s="1177" t="s">
        <v>335</v>
      </c>
      <c r="S4" s="1178"/>
      <c r="T4" s="1291" t="s">
        <v>1951</v>
      </c>
      <c r="U4" s="1177" t="s">
        <v>334</v>
      </c>
      <c r="V4" s="1178"/>
      <c r="W4" s="1292" t="s">
        <v>115</v>
      </c>
      <c r="X4" s="1177" t="s">
        <v>115</v>
      </c>
      <c r="Y4" s="1178"/>
    </row>
    <row r="5" spans="1:26" s="38" customFormat="1" ht="22.5" customHeight="1" x14ac:dyDescent="0.2">
      <c r="A5" s="1126" t="s">
        <v>58</v>
      </c>
      <c r="B5" s="1127"/>
      <c r="C5" s="1127"/>
      <c r="D5" s="1127"/>
      <c r="E5" s="61">
        <f>SUM(E6:E13)</f>
        <v>3822360000</v>
      </c>
      <c r="F5" s="61">
        <f t="shared" ref="F5:V5" si="0">SUM(F6:F13)</f>
        <v>4719186287</v>
      </c>
      <c r="G5" s="61">
        <f t="shared" si="0"/>
        <v>4663848531</v>
      </c>
      <c r="H5" s="61">
        <f>SUM(H6:H13)</f>
        <v>46979111</v>
      </c>
      <c r="I5" s="61">
        <f t="shared" si="0"/>
        <v>0</v>
      </c>
      <c r="J5" s="61">
        <f t="shared" si="0"/>
        <v>0</v>
      </c>
      <c r="K5" s="61">
        <f t="shared" si="0"/>
        <v>0</v>
      </c>
      <c r="L5" s="61">
        <f>SUM(L6:L13)</f>
        <v>160000</v>
      </c>
      <c r="M5" s="356">
        <f>SUM(M6:M13)</f>
        <v>160000</v>
      </c>
      <c r="N5" s="391">
        <f t="shared" si="0"/>
        <v>0</v>
      </c>
      <c r="O5" s="61">
        <f t="shared" si="0"/>
        <v>0</v>
      </c>
      <c r="P5" s="61"/>
      <c r="Q5" s="61">
        <f t="shared" si="0"/>
        <v>0</v>
      </c>
      <c r="R5" s="61">
        <f t="shared" si="0"/>
        <v>0</v>
      </c>
      <c r="S5" s="61"/>
      <c r="T5" s="61">
        <f t="shared" si="0"/>
        <v>0</v>
      </c>
      <c r="U5" s="61">
        <f t="shared" si="0"/>
        <v>28146</v>
      </c>
      <c r="V5" s="61">
        <f t="shared" si="0"/>
        <v>28146</v>
      </c>
      <c r="W5" s="92">
        <f>+E5+H5+N5+T5+Q5</f>
        <v>3869339111</v>
      </c>
      <c r="X5" s="92">
        <f>+F5+I5+O5+U5+L5+R5</f>
        <v>4719374433</v>
      </c>
      <c r="Y5" s="92">
        <f>+G5+J5+P5+V5+M5+S5</f>
        <v>4664036677</v>
      </c>
    </row>
    <row r="6" spans="1:26" s="230" customFormat="1" ht="19.5" customHeight="1" x14ac:dyDescent="0.2">
      <c r="A6" s="53" t="s">
        <v>191</v>
      </c>
      <c r="B6" s="147">
        <v>500</v>
      </c>
      <c r="C6" s="272" t="s">
        <v>1056</v>
      </c>
      <c r="D6" s="283" t="s">
        <v>641</v>
      </c>
      <c r="E6" s="284">
        <v>600000000</v>
      </c>
      <c r="F6" s="284">
        <v>702687200</v>
      </c>
      <c r="G6" s="284">
        <v>686029083</v>
      </c>
      <c r="H6" s="284"/>
      <c r="I6" s="284"/>
      <c r="J6" s="284"/>
      <c r="K6" s="284"/>
      <c r="L6" s="284"/>
      <c r="M6" s="389"/>
      <c r="N6" s="392"/>
      <c r="O6" s="284"/>
      <c r="P6" s="284"/>
      <c r="Q6" s="284"/>
      <c r="R6" s="284"/>
      <c r="S6" s="284"/>
      <c r="T6" s="284"/>
      <c r="U6" s="284"/>
      <c r="V6" s="389"/>
      <c r="W6" s="92">
        <f t="shared" ref="W6:W19" si="1">+E6+H6+N6+T6+Q6</f>
        <v>600000000</v>
      </c>
      <c r="X6" s="92">
        <f t="shared" ref="X6:X18" si="2">+F6+I6+O6+U6+L6+R6</f>
        <v>702687200</v>
      </c>
      <c r="Y6" s="92">
        <f t="shared" ref="Y6:Y19" si="3">+G6+J6+P6+V6+M6+S6</f>
        <v>686029083</v>
      </c>
    </row>
    <row r="7" spans="1:26" ht="27" customHeight="1" x14ac:dyDescent="0.2">
      <c r="A7" s="54" t="s">
        <v>192</v>
      </c>
      <c r="B7" s="132">
        <v>500</v>
      </c>
      <c r="C7" s="114" t="s">
        <v>1056</v>
      </c>
      <c r="D7" s="613" t="s">
        <v>642</v>
      </c>
      <c r="E7" s="124">
        <v>150000000</v>
      </c>
      <c r="F7" s="124">
        <v>164404327</v>
      </c>
      <c r="G7" s="124">
        <v>158811784</v>
      </c>
      <c r="H7" s="124"/>
      <c r="I7" s="124"/>
      <c r="J7" s="124"/>
      <c r="K7" s="124"/>
      <c r="L7" s="124"/>
      <c r="M7" s="302"/>
      <c r="N7" s="266"/>
      <c r="O7" s="124"/>
      <c r="P7" s="124"/>
      <c r="Q7" s="124"/>
      <c r="R7" s="124"/>
      <c r="S7" s="124"/>
      <c r="T7" s="124"/>
      <c r="U7" s="124"/>
      <c r="V7" s="302"/>
      <c r="W7" s="92">
        <f t="shared" si="1"/>
        <v>150000000</v>
      </c>
      <c r="X7" s="92">
        <f t="shared" si="2"/>
        <v>164404327</v>
      </c>
      <c r="Y7" s="92">
        <f t="shared" si="3"/>
        <v>158811784</v>
      </c>
    </row>
    <row r="8" spans="1:26" ht="21" customHeight="1" x14ac:dyDescent="0.2">
      <c r="A8" s="54" t="s">
        <v>193</v>
      </c>
      <c r="B8" s="132">
        <v>500</v>
      </c>
      <c r="C8" s="114" t="s">
        <v>1056</v>
      </c>
      <c r="D8" s="613" t="s">
        <v>1053</v>
      </c>
      <c r="E8" s="124">
        <v>22200000</v>
      </c>
      <c r="F8" s="124">
        <v>27659744</v>
      </c>
      <c r="G8" s="124">
        <v>26679802</v>
      </c>
      <c r="H8" s="124"/>
      <c r="I8" s="124"/>
      <c r="J8" s="124"/>
      <c r="K8" s="124"/>
      <c r="L8" s="124"/>
      <c r="M8" s="302"/>
      <c r="N8" s="266"/>
      <c r="O8" s="124"/>
      <c r="P8" s="124"/>
      <c r="Q8" s="124"/>
      <c r="R8" s="124"/>
      <c r="S8" s="124"/>
      <c r="T8" s="124"/>
      <c r="U8" s="124"/>
      <c r="V8" s="302"/>
      <c r="W8" s="92">
        <f t="shared" si="1"/>
        <v>22200000</v>
      </c>
      <c r="X8" s="92">
        <f t="shared" si="2"/>
        <v>27659744</v>
      </c>
      <c r="Y8" s="92">
        <f t="shared" si="3"/>
        <v>26679802</v>
      </c>
    </row>
    <row r="9" spans="1:26" ht="22.5" customHeight="1" x14ac:dyDescent="0.2">
      <c r="A9" s="54" t="s">
        <v>194</v>
      </c>
      <c r="B9" s="132">
        <v>500</v>
      </c>
      <c r="C9" s="114" t="s">
        <v>1058</v>
      </c>
      <c r="D9" s="613" t="s">
        <v>1061</v>
      </c>
      <c r="E9" s="124">
        <v>160000</v>
      </c>
      <c r="F9" s="124">
        <v>252544</v>
      </c>
      <c r="G9" s="124">
        <v>250144</v>
      </c>
      <c r="H9" s="124"/>
      <c r="I9" s="124"/>
      <c r="J9" s="124"/>
      <c r="K9" s="124"/>
      <c r="L9" s="124"/>
      <c r="M9" s="302"/>
      <c r="N9" s="266"/>
      <c r="O9" s="124"/>
      <c r="P9" s="124"/>
      <c r="Q9" s="124"/>
      <c r="R9" s="124"/>
      <c r="S9" s="124"/>
      <c r="T9" s="124"/>
      <c r="U9" s="124"/>
      <c r="V9" s="302"/>
      <c r="W9" s="92">
        <f t="shared" si="1"/>
        <v>160000</v>
      </c>
      <c r="X9" s="92">
        <f t="shared" si="2"/>
        <v>252544</v>
      </c>
      <c r="Y9" s="92">
        <f t="shared" si="3"/>
        <v>250144</v>
      </c>
    </row>
    <row r="10" spans="1:26" ht="26.25" customHeight="1" x14ac:dyDescent="0.2">
      <c r="A10" s="54" t="s">
        <v>195</v>
      </c>
      <c r="B10" s="132">
        <v>500</v>
      </c>
      <c r="C10" s="114" t="s">
        <v>1057</v>
      </c>
      <c r="D10" s="613" t="s">
        <v>643</v>
      </c>
      <c r="E10" s="124">
        <v>3050000000</v>
      </c>
      <c r="F10" s="124">
        <v>3803648642</v>
      </c>
      <c r="G10" s="124">
        <v>3779687975</v>
      </c>
      <c r="H10" s="124"/>
      <c r="I10" s="124"/>
      <c r="J10" s="124"/>
      <c r="K10" s="124"/>
      <c r="L10" s="124"/>
      <c r="M10" s="302"/>
      <c r="N10" s="266"/>
      <c r="O10" s="124"/>
      <c r="P10" s="124"/>
      <c r="Q10" s="124"/>
      <c r="R10" s="124"/>
      <c r="S10" s="124"/>
      <c r="T10" s="124"/>
      <c r="U10" s="124"/>
      <c r="V10" s="302"/>
      <c r="W10" s="92">
        <f t="shared" si="1"/>
        <v>3050000000</v>
      </c>
      <c r="X10" s="92">
        <f t="shared" si="2"/>
        <v>3803648642</v>
      </c>
      <c r="Y10" s="92">
        <f t="shared" si="3"/>
        <v>3779687975</v>
      </c>
    </row>
    <row r="11" spans="1:26" ht="28.5" customHeight="1" x14ac:dyDescent="0.2">
      <c r="A11" s="54" t="s">
        <v>196</v>
      </c>
      <c r="B11" s="132">
        <v>500</v>
      </c>
      <c r="C11" s="114" t="s">
        <v>1059</v>
      </c>
      <c r="D11" s="613" t="s">
        <v>1054</v>
      </c>
      <c r="E11" s="124"/>
      <c r="F11" s="124">
        <v>20533830</v>
      </c>
      <c r="G11" s="124">
        <f>11538343+851400</f>
        <v>12389743</v>
      </c>
      <c r="H11" s="124"/>
      <c r="I11" s="124"/>
      <c r="J11" s="124"/>
      <c r="K11" s="124"/>
      <c r="L11" s="124"/>
      <c r="M11" s="302"/>
      <c r="N11" s="266"/>
      <c r="O11" s="124"/>
      <c r="P11" s="124"/>
      <c r="Q11" s="124"/>
      <c r="R11" s="124"/>
      <c r="S11" s="124"/>
      <c r="T11" s="124"/>
      <c r="U11" s="124"/>
      <c r="V11" s="302"/>
      <c r="W11" s="92">
        <f t="shared" si="1"/>
        <v>0</v>
      </c>
      <c r="X11" s="92">
        <f t="shared" si="2"/>
        <v>20533830</v>
      </c>
      <c r="Y11" s="92">
        <f t="shared" si="3"/>
        <v>12389743</v>
      </c>
    </row>
    <row r="12" spans="1:26" s="385" customFormat="1" ht="24.75" customHeight="1" x14ac:dyDescent="0.2">
      <c r="A12" s="728" t="s">
        <v>197</v>
      </c>
      <c r="B12" s="702">
        <v>502</v>
      </c>
      <c r="C12" s="702" t="s">
        <v>214</v>
      </c>
      <c r="D12" s="703" t="s">
        <v>1055</v>
      </c>
      <c r="E12" s="704"/>
      <c r="F12" s="704"/>
      <c r="G12" s="704"/>
      <c r="H12" s="124">
        <v>46979111</v>
      </c>
      <c r="I12" s="702">
        <f>46979111-46979111</f>
        <v>0</v>
      </c>
      <c r="J12" s="705"/>
      <c r="K12" s="705"/>
      <c r="L12" s="705"/>
      <c r="M12" s="729"/>
      <c r="N12" s="730"/>
      <c r="O12" s="705"/>
      <c r="P12" s="705"/>
      <c r="Q12" s="705"/>
      <c r="R12" s="705"/>
      <c r="S12" s="705"/>
      <c r="T12" s="705"/>
      <c r="U12" s="705"/>
      <c r="V12" s="729"/>
      <c r="W12" s="92">
        <f t="shared" si="1"/>
        <v>46979111</v>
      </c>
      <c r="X12" s="92">
        <f t="shared" si="2"/>
        <v>0</v>
      </c>
      <c r="Y12" s="92">
        <f t="shared" si="3"/>
        <v>0</v>
      </c>
      <c r="Z12" s="686"/>
    </row>
    <row r="13" spans="1:26" ht="28.5" customHeight="1" x14ac:dyDescent="0.2">
      <c r="A13" s="138" t="s">
        <v>198</v>
      </c>
      <c r="B13" s="323" t="s">
        <v>150</v>
      </c>
      <c r="C13" s="144" t="s">
        <v>1059</v>
      </c>
      <c r="D13" s="142" t="s">
        <v>1465</v>
      </c>
      <c r="E13" s="141"/>
      <c r="F13" s="141"/>
      <c r="G13" s="141"/>
      <c r="H13" s="141"/>
      <c r="I13" s="141"/>
      <c r="J13" s="141"/>
      <c r="K13" s="141"/>
      <c r="L13" s="141">
        <f>60000+100000</f>
        <v>160000</v>
      </c>
      <c r="M13" s="328">
        <v>160000</v>
      </c>
      <c r="N13" s="325"/>
      <c r="O13" s="141"/>
      <c r="P13" s="141"/>
      <c r="Q13" s="141"/>
      <c r="R13" s="141"/>
      <c r="S13" s="141"/>
      <c r="T13" s="141"/>
      <c r="U13" s="141">
        <v>28146</v>
      </c>
      <c r="V13" s="328">
        <v>28146</v>
      </c>
      <c r="W13" s="92">
        <f t="shared" si="1"/>
        <v>0</v>
      </c>
      <c r="X13" s="92">
        <f t="shared" si="2"/>
        <v>188146</v>
      </c>
      <c r="Y13" s="92">
        <f>+G13+J13+P13+V13+M13+S13</f>
        <v>188146</v>
      </c>
    </row>
    <row r="14" spans="1:26" s="38" customFormat="1" ht="20.25" customHeight="1" x14ac:dyDescent="0.2">
      <c r="A14" s="1126" t="s">
        <v>60</v>
      </c>
      <c r="B14" s="1127"/>
      <c r="C14" s="1127"/>
      <c r="D14" s="1127"/>
      <c r="E14" s="61">
        <f>+E15</f>
        <v>0</v>
      </c>
      <c r="F14" s="61">
        <f t="shared" ref="F14:V14" si="4">+F15</f>
        <v>0</v>
      </c>
      <c r="G14" s="61"/>
      <c r="H14" s="61">
        <f t="shared" si="4"/>
        <v>0</v>
      </c>
      <c r="I14" s="61">
        <f t="shared" si="4"/>
        <v>0</v>
      </c>
      <c r="J14" s="61"/>
      <c r="K14" s="61">
        <f t="shared" si="4"/>
        <v>0</v>
      </c>
      <c r="L14" s="61">
        <f t="shared" si="4"/>
        <v>0</v>
      </c>
      <c r="M14" s="356"/>
      <c r="N14" s="391">
        <f t="shared" si="4"/>
        <v>4000000</v>
      </c>
      <c r="O14" s="61">
        <f t="shared" si="4"/>
        <v>4030000</v>
      </c>
      <c r="P14" s="61">
        <f t="shared" si="4"/>
        <v>4030000</v>
      </c>
      <c r="Q14" s="61">
        <f t="shared" si="4"/>
        <v>0</v>
      </c>
      <c r="R14" s="61">
        <f t="shared" si="4"/>
        <v>90000</v>
      </c>
      <c r="S14" s="61">
        <f t="shared" si="4"/>
        <v>90000</v>
      </c>
      <c r="T14" s="61">
        <f t="shared" si="4"/>
        <v>0</v>
      </c>
      <c r="U14" s="61">
        <f t="shared" si="4"/>
        <v>10000</v>
      </c>
      <c r="V14" s="394">
        <f t="shared" si="4"/>
        <v>10000</v>
      </c>
      <c r="W14" s="92">
        <f t="shared" si="1"/>
        <v>4000000</v>
      </c>
      <c r="X14" s="92">
        <f>+F14+I14+O14+U14+L14+R14</f>
        <v>4130000</v>
      </c>
      <c r="Y14" s="92">
        <f t="shared" si="3"/>
        <v>4130000</v>
      </c>
    </row>
    <row r="15" spans="1:26" s="38" customFormat="1" ht="20.25" customHeight="1" x14ac:dyDescent="0.2">
      <c r="A15" s="1126" t="s">
        <v>468</v>
      </c>
      <c r="B15" s="1128"/>
      <c r="C15" s="1128"/>
      <c r="D15" s="1128"/>
      <c r="E15" s="61">
        <f>SUM(E16:E18)</f>
        <v>0</v>
      </c>
      <c r="F15" s="61">
        <f t="shared" ref="F15:T15" si="5">SUM(F16:F18)</f>
        <v>0</v>
      </c>
      <c r="G15" s="61"/>
      <c r="H15" s="61">
        <f t="shared" si="5"/>
        <v>0</v>
      </c>
      <c r="I15" s="61">
        <f t="shared" si="5"/>
        <v>0</v>
      </c>
      <c r="J15" s="61"/>
      <c r="K15" s="61">
        <f t="shared" si="5"/>
        <v>0</v>
      </c>
      <c r="L15" s="61">
        <f t="shared" si="5"/>
        <v>0</v>
      </c>
      <c r="M15" s="356"/>
      <c r="N15" s="391">
        <f t="shared" si="5"/>
        <v>4000000</v>
      </c>
      <c r="O15" s="61">
        <f t="shared" si="5"/>
        <v>4030000</v>
      </c>
      <c r="P15" s="61">
        <f t="shared" si="5"/>
        <v>4030000</v>
      </c>
      <c r="Q15" s="61">
        <f t="shared" si="5"/>
        <v>0</v>
      </c>
      <c r="R15" s="61">
        <f>SUM(R16:R18)</f>
        <v>90000</v>
      </c>
      <c r="S15" s="61">
        <f>SUM(S16:S18)</f>
        <v>90000</v>
      </c>
      <c r="T15" s="61">
        <f t="shared" si="5"/>
        <v>0</v>
      </c>
      <c r="U15" s="61">
        <f>SUM(U16:U17)</f>
        <v>10000</v>
      </c>
      <c r="V15" s="356">
        <f>SUM(V16:V17)</f>
        <v>10000</v>
      </c>
      <c r="W15" s="92">
        <f t="shared" si="1"/>
        <v>4000000</v>
      </c>
      <c r="X15" s="92">
        <f t="shared" si="2"/>
        <v>4130000</v>
      </c>
      <c r="Y15" s="92">
        <f t="shared" si="3"/>
        <v>4130000</v>
      </c>
    </row>
    <row r="16" spans="1:26" ht="25.5" customHeight="1" x14ac:dyDescent="0.2">
      <c r="A16" s="53" t="s">
        <v>191</v>
      </c>
      <c r="B16" s="352" t="s">
        <v>147</v>
      </c>
      <c r="C16" s="272" t="s">
        <v>1059</v>
      </c>
      <c r="D16" s="557" t="s">
        <v>1060</v>
      </c>
      <c r="E16" s="284"/>
      <c r="F16" s="284"/>
      <c r="G16" s="284"/>
      <c r="H16" s="284"/>
      <c r="I16" s="284"/>
      <c r="J16" s="284"/>
      <c r="K16" s="284"/>
      <c r="L16" s="284"/>
      <c r="M16" s="389"/>
      <c r="N16" s="392">
        <v>4000000</v>
      </c>
      <c r="O16" s="284">
        <v>4030000</v>
      </c>
      <c r="P16" s="284">
        <v>4030000</v>
      </c>
      <c r="Q16" s="284"/>
      <c r="R16" s="284"/>
      <c r="S16" s="284"/>
      <c r="T16" s="284"/>
      <c r="U16" s="284"/>
      <c r="V16" s="389"/>
      <c r="W16" s="92">
        <f t="shared" si="1"/>
        <v>4000000</v>
      </c>
      <c r="X16" s="92">
        <f t="shared" si="2"/>
        <v>4030000</v>
      </c>
      <c r="Y16" s="92">
        <f t="shared" si="3"/>
        <v>4030000</v>
      </c>
    </row>
    <row r="17" spans="1:25" ht="25.5" customHeight="1" x14ac:dyDescent="0.2">
      <c r="A17" s="54" t="s">
        <v>192</v>
      </c>
      <c r="B17" s="289" t="s">
        <v>90</v>
      </c>
      <c r="C17" s="114" t="s">
        <v>1059</v>
      </c>
      <c r="D17" s="388" t="s">
        <v>1239</v>
      </c>
      <c r="E17" s="124"/>
      <c r="F17" s="124"/>
      <c r="G17" s="124"/>
      <c r="H17" s="124"/>
      <c r="I17" s="124"/>
      <c r="J17" s="124"/>
      <c r="K17" s="124"/>
      <c r="L17" s="124"/>
      <c r="M17" s="302"/>
      <c r="N17" s="266"/>
      <c r="O17" s="124"/>
      <c r="P17" s="124"/>
      <c r="Q17" s="124"/>
      <c r="R17" s="124"/>
      <c r="S17" s="124"/>
      <c r="T17" s="124"/>
      <c r="U17" s="124">
        <v>10000</v>
      </c>
      <c r="V17" s="302">
        <v>10000</v>
      </c>
      <c r="W17" s="92">
        <f t="shared" si="1"/>
        <v>0</v>
      </c>
      <c r="X17" s="92">
        <f t="shared" si="2"/>
        <v>10000</v>
      </c>
      <c r="Y17" s="92">
        <f t="shared" si="3"/>
        <v>10000</v>
      </c>
    </row>
    <row r="18" spans="1:25" ht="25.5" customHeight="1" x14ac:dyDescent="0.2">
      <c r="A18" s="138" t="s">
        <v>192</v>
      </c>
      <c r="B18" s="323" t="s">
        <v>128</v>
      </c>
      <c r="C18" s="144" t="s">
        <v>1059</v>
      </c>
      <c r="D18" s="332" t="s">
        <v>1508</v>
      </c>
      <c r="E18" s="141"/>
      <c r="F18" s="141"/>
      <c r="G18" s="141"/>
      <c r="H18" s="141"/>
      <c r="I18" s="141"/>
      <c r="J18" s="141"/>
      <c r="K18" s="141"/>
      <c r="L18" s="141"/>
      <c r="M18" s="328"/>
      <c r="N18" s="325"/>
      <c r="O18" s="141"/>
      <c r="P18" s="141"/>
      <c r="Q18" s="141"/>
      <c r="R18" s="141">
        <v>90000</v>
      </c>
      <c r="S18" s="141">
        <v>90000</v>
      </c>
      <c r="T18" s="141"/>
      <c r="U18" s="141"/>
      <c r="V18" s="328"/>
      <c r="W18" s="92">
        <f t="shared" si="1"/>
        <v>0</v>
      </c>
      <c r="X18" s="92">
        <f t="shared" si="2"/>
        <v>90000</v>
      </c>
      <c r="Y18" s="92">
        <f t="shared" si="3"/>
        <v>90000</v>
      </c>
    </row>
    <row r="19" spans="1:25" ht="31.5" customHeight="1" x14ac:dyDescent="0.2">
      <c r="A19" s="1124" t="s">
        <v>29</v>
      </c>
      <c r="B19" s="1125"/>
      <c r="C19" s="1125"/>
      <c r="D19" s="1125"/>
      <c r="E19" s="61">
        <f t="shared" ref="E19:J19" si="6">+E14+E5</f>
        <v>3822360000</v>
      </c>
      <c r="F19" s="61">
        <f t="shared" si="6"/>
        <v>4719186287</v>
      </c>
      <c r="G19" s="61">
        <f t="shared" si="6"/>
        <v>4663848531</v>
      </c>
      <c r="H19" s="61">
        <f t="shared" si="6"/>
        <v>46979111</v>
      </c>
      <c r="I19" s="61">
        <f t="shared" si="6"/>
        <v>0</v>
      </c>
      <c r="J19" s="61">
        <f t="shared" si="6"/>
        <v>0</v>
      </c>
      <c r="K19" s="61">
        <f t="shared" ref="K19:T19" si="7">+K14+K5</f>
        <v>0</v>
      </c>
      <c r="L19" s="61">
        <f>+L14+L5</f>
        <v>160000</v>
      </c>
      <c r="M19" s="356">
        <f>+M14+M5</f>
        <v>160000</v>
      </c>
      <c r="N19" s="391">
        <f t="shared" si="7"/>
        <v>4000000</v>
      </c>
      <c r="O19" s="61">
        <f>+O14+O5</f>
        <v>4030000</v>
      </c>
      <c r="P19" s="61">
        <f>+P14+P5</f>
        <v>4030000</v>
      </c>
      <c r="Q19" s="61">
        <f t="shared" si="7"/>
        <v>0</v>
      </c>
      <c r="R19" s="61">
        <f t="shared" si="7"/>
        <v>90000</v>
      </c>
      <c r="S19" s="61">
        <f t="shared" si="7"/>
        <v>90000</v>
      </c>
      <c r="T19" s="61">
        <f t="shared" si="7"/>
        <v>0</v>
      </c>
      <c r="U19" s="61">
        <f>+U14+U5</f>
        <v>38146</v>
      </c>
      <c r="V19" s="356">
        <f>+V14+V5</f>
        <v>38146</v>
      </c>
      <c r="W19" s="92">
        <f t="shared" si="1"/>
        <v>3873339111</v>
      </c>
      <c r="X19" s="92">
        <f>+F19+I19+O19+U19+L19+R19</f>
        <v>4723504433</v>
      </c>
      <c r="Y19" s="92">
        <f t="shared" si="3"/>
        <v>4668166677</v>
      </c>
    </row>
    <row r="20" spans="1:25" x14ac:dyDescent="0.2">
      <c r="E20" s="39"/>
      <c r="F20" s="39"/>
      <c r="G20" s="39"/>
      <c r="H20" s="39"/>
      <c r="I20" s="39"/>
      <c r="J20" s="39"/>
      <c r="K20" s="39"/>
      <c r="L20" s="39"/>
      <c r="M20" s="39"/>
      <c r="N20" s="39"/>
      <c r="O20" s="39"/>
      <c r="P20" s="39"/>
      <c r="Q20" s="39"/>
      <c r="R20" s="39"/>
      <c r="S20" s="39"/>
      <c r="T20" s="39"/>
      <c r="U20" s="39"/>
      <c r="V20" s="39"/>
      <c r="Y20" s="47">
        <f>4668166677-Y19</f>
        <v>0</v>
      </c>
    </row>
    <row r="21" spans="1:25" x14ac:dyDescent="0.2">
      <c r="E21" s="39"/>
      <c r="F21" s="39"/>
      <c r="G21" s="39"/>
      <c r="H21" s="39"/>
      <c r="I21" s="39"/>
      <c r="J21" s="39"/>
      <c r="K21" s="39"/>
      <c r="L21" s="39"/>
      <c r="M21" s="39"/>
      <c r="N21" s="39"/>
      <c r="O21" s="39"/>
      <c r="P21" s="39"/>
      <c r="Q21" s="39"/>
      <c r="R21" s="39"/>
      <c r="S21" s="39"/>
      <c r="T21" s="39"/>
      <c r="U21" s="39"/>
      <c r="V21" s="39"/>
    </row>
    <row r="22" spans="1:25" x14ac:dyDescent="0.2">
      <c r="E22" s="39"/>
      <c r="F22" s="39"/>
      <c r="G22" s="39"/>
      <c r="H22" s="39"/>
      <c r="I22" s="39"/>
      <c r="J22" s="39"/>
      <c r="K22" s="39"/>
      <c r="L22" s="39"/>
      <c r="M22" s="39"/>
      <c r="N22" s="39"/>
      <c r="O22" s="39"/>
      <c r="P22" s="39"/>
      <c r="Q22" s="39"/>
      <c r="R22" s="39"/>
      <c r="S22" s="39"/>
      <c r="T22" s="39"/>
      <c r="U22" s="39"/>
      <c r="V22" s="39"/>
    </row>
    <row r="23" spans="1:25" x14ac:dyDescent="0.2">
      <c r="E23" s="39"/>
      <c r="F23" s="39"/>
      <c r="G23" s="39"/>
      <c r="H23" s="39"/>
      <c r="I23" s="39"/>
      <c r="J23" s="39"/>
      <c r="K23" s="39"/>
      <c r="L23" s="39"/>
      <c r="M23" s="39"/>
      <c r="N23" s="39"/>
      <c r="O23" s="39"/>
      <c r="P23" s="39"/>
      <c r="Q23" s="39"/>
      <c r="R23" s="39"/>
      <c r="S23" s="39"/>
      <c r="T23" s="39"/>
      <c r="U23" s="39"/>
      <c r="V23" s="39"/>
    </row>
    <row r="24" spans="1:25" x14ac:dyDescent="0.2">
      <c r="E24" s="39"/>
      <c r="F24" s="39"/>
      <c r="G24" s="39"/>
      <c r="H24" s="39"/>
      <c r="I24" s="39"/>
      <c r="J24" s="39"/>
      <c r="K24" s="39"/>
      <c r="L24" s="39"/>
      <c r="M24" s="39"/>
      <c r="N24" s="39"/>
      <c r="O24" s="39"/>
      <c r="P24" s="39"/>
      <c r="Q24" s="39"/>
      <c r="R24" s="39"/>
      <c r="S24" s="39"/>
      <c r="T24" s="39"/>
      <c r="U24" s="39"/>
      <c r="V24" s="39"/>
    </row>
    <row r="25" spans="1:25" x14ac:dyDescent="0.2">
      <c r="E25" s="39"/>
      <c r="F25" s="39"/>
      <c r="G25" s="39"/>
      <c r="H25" s="39"/>
      <c r="I25" s="39"/>
      <c r="J25" s="39"/>
      <c r="K25" s="39"/>
      <c r="L25" s="39"/>
      <c r="M25" s="39"/>
      <c r="N25" s="39"/>
      <c r="O25" s="39"/>
      <c r="P25" s="39"/>
      <c r="Q25" s="39"/>
      <c r="R25" s="39"/>
      <c r="S25" s="39"/>
      <c r="T25" s="39"/>
      <c r="U25" s="39"/>
      <c r="V25" s="39"/>
    </row>
  </sheetData>
  <mergeCells count="17">
    <mergeCell ref="Q4:S4"/>
    <mergeCell ref="T4:V4"/>
    <mergeCell ref="N1:Y1"/>
    <mergeCell ref="E1:M1"/>
    <mergeCell ref="W4:Y4"/>
    <mergeCell ref="A19:D19"/>
    <mergeCell ref="B2:W2"/>
    <mergeCell ref="A5:D5"/>
    <mergeCell ref="A14:D14"/>
    <mergeCell ref="A15:D15"/>
    <mergeCell ref="B3:B4"/>
    <mergeCell ref="A3:A4"/>
    <mergeCell ref="D3:D4"/>
    <mergeCell ref="C3:C4"/>
    <mergeCell ref="E4:G4"/>
    <mergeCell ref="K4:M4"/>
    <mergeCell ref="N4:P4"/>
  </mergeCells>
  <phoneticPr fontId="44" type="noConversion"/>
  <printOptions horizontalCentered="1" verticalCentered="1"/>
  <pageMargins left="0.23622047244094491" right="0.23622047244094491" top="0.74803149606299213" bottom="0.74803149606299213" header="0.31496062992125984" footer="0.31496062992125984"/>
  <pageSetup paperSize="9" scale="55" orientation="landscape" r:id="rId1"/>
  <headerFooter>
    <oddHeader>&amp;C2022. évi zárszámadás&amp;R&amp;A</oddHeader>
    <oddFooter>&amp;C&amp;P/&amp;N</oddFooter>
  </headerFooter>
  <colBreaks count="1" manualBreakCount="1">
    <brk id="13" max="18"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79998168889431442"/>
  </sheetPr>
  <dimension ref="A1:W23"/>
  <sheetViews>
    <sheetView topLeftCell="H1" zoomScaleNormal="100" zoomScaleSheetLayoutView="100" workbookViewId="0">
      <selection activeCell="S14" sqref="S14"/>
    </sheetView>
  </sheetViews>
  <sheetFormatPr defaultColWidth="10.42578125" defaultRowHeight="12.75" x14ac:dyDescent="0.2"/>
  <cols>
    <col min="1" max="1" width="4.42578125" style="8" customWidth="1"/>
    <col min="2" max="2" width="4.5703125" style="8" customWidth="1"/>
    <col min="3" max="3" width="10.42578125" style="8" customWidth="1"/>
    <col min="4" max="4" width="46.5703125" style="8" customWidth="1"/>
    <col min="5" max="13" width="15.5703125" style="8" customWidth="1"/>
    <col min="14" max="19" width="14.28515625" style="8" customWidth="1"/>
    <col min="20" max="22" width="13.5703125" style="8" customWidth="1"/>
    <col min="23" max="16384" width="10.42578125" style="8"/>
  </cols>
  <sheetData>
    <row r="1" spans="1:22" ht="27" customHeight="1" x14ac:dyDescent="0.2">
      <c r="A1" s="1244" t="s">
        <v>1050</v>
      </c>
      <c r="B1" s="1244"/>
      <c r="C1" s="1244"/>
      <c r="D1" s="1244"/>
      <c r="E1" s="1244"/>
      <c r="F1" s="1244"/>
      <c r="G1" s="1244"/>
      <c r="H1" s="1244"/>
      <c r="I1" s="1244"/>
      <c r="J1" s="1244"/>
      <c r="K1" s="1244"/>
      <c r="L1" s="1244"/>
      <c r="M1" s="1244"/>
      <c r="N1" s="1244"/>
      <c r="O1" s="1244"/>
      <c r="P1" s="1244"/>
      <c r="Q1" s="1244"/>
      <c r="R1" s="1244"/>
      <c r="S1" s="1244"/>
      <c r="T1" s="1244"/>
      <c r="U1" s="1244"/>
      <c r="V1" s="1244"/>
    </row>
    <row r="2" spans="1:22" ht="14.25" customHeight="1" x14ac:dyDescent="0.2">
      <c r="A2" s="1293"/>
      <c r="B2" s="1293"/>
      <c r="C2" s="1293"/>
      <c r="D2" s="1293"/>
      <c r="E2" s="1293"/>
      <c r="F2" s="1293"/>
      <c r="G2" s="1293"/>
      <c r="H2" s="1293"/>
      <c r="I2" s="1293"/>
      <c r="J2" s="1293"/>
      <c r="K2" s="1293"/>
      <c r="L2" s="1293"/>
      <c r="M2" s="1293"/>
      <c r="N2" s="1293"/>
      <c r="O2" s="1293"/>
      <c r="P2" s="1293"/>
      <c r="Q2" s="1293"/>
      <c r="R2" s="257"/>
      <c r="S2" s="257"/>
      <c r="T2" s="257"/>
      <c r="U2" s="257"/>
      <c r="V2" s="516" t="s">
        <v>415</v>
      </c>
    </row>
    <row r="3" spans="1:22" ht="35.25" customHeight="1" x14ac:dyDescent="0.2">
      <c r="A3" s="1294" t="s">
        <v>53</v>
      </c>
      <c r="B3" s="1294" t="s">
        <v>647</v>
      </c>
      <c r="C3" s="1297" t="s">
        <v>82</v>
      </c>
      <c r="D3" s="1297" t="s">
        <v>2</v>
      </c>
      <c r="E3" s="384" t="s">
        <v>274</v>
      </c>
      <c r="F3" s="521" t="s">
        <v>1074</v>
      </c>
      <c r="G3" s="521" t="s">
        <v>1546</v>
      </c>
      <c r="H3" s="384" t="s">
        <v>274</v>
      </c>
      <c r="I3" s="521" t="s">
        <v>1074</v>
      </c>
      <c r="J3" s="521" t="s">
        <v>1546</v>
      </c>
      <c r="K3" s="384" t="s">
        <v>274</v>
      </c>
      <c r="L3" s="521" t="s">
        <v>1074</v>
      </c>
      <c r="M3" s="521" t="s">
        <v>1546</v>
      </c>
      <c r="N3" s="384" t="s">
        <v>274</v>
      </c>
      <c r="O3" s="521" t="s">
        <v>1074</v>
      </c>
      <c r="P3" s="521" t="s">
        <v>1546</v>
      </c>
      <c r="Q3" s="384" t="s">
        <v>274</v>
      </c>
      <c r="R3" s="521" t="s">
        <v>1074</v>
      </c>
      <c r="S3" s="521" t="s">
        <v>1546</v>
      </c>
      <c r="T3" s="384" t="s">
        <v>274</v>
      </c>
      <c r="U3" s="521" t="s">
        <v>1074</v>
      </c>
      <c r="V3" s="522" t="s">
        <v>1546</v>
      </c>
    </row>
    <row r="4" spans="1:22" ht="23.25" customHeight="1" x14ac:dyDescent="0.2">
      <c r="A4" s="1295"/>
      <c r="B4" s="1295"/>
      <c r="C4" s="1298"/>
      <c r="D4" s="1298"/>
      <c r="E4" s="1300" t="s">
        <v>1614</v>
      </c>
      <c r="F4" s="1301"/>
      <c r="G4" s="1302"/>
      <c r="H4" s="1300" t="s">
        <v>1944</v>
      </c>
      <c r="I4" s="1301" t="s">
        <v>334</v>
      </c>
      <c r="J4" s="1302"/>
      <c r="K4" s="1300" t="s">
        <v>2000</v>
      </c>
      <c r="L4" s="1301" t="s">
        <v>417</v>
      </c>
      <c r="M4" s="1302"/>
      <c r="N4" s="1300" t="s">
        <v>1581</v>
      </c>
      <c r="O4" s="1301" t="s">
        <v>466</v>
      </c>
      <c r="P4" s="1302"/>
      <c r="Q4" s="1300" t="s">
        <v>1558</v>
      </c>
      <c r="R4" s="1301" t="s">
        <v>371</v>
      </c>
      <c r="S4" s="1302"/>
      <c r="T4" s="1300" t="s">
        <v>115</v>
      </c>
      <c r="U4" s="1301" t="s">
        <v>115</v>
      </c>
      <c r="V4" s="1309"/>
    </row>
    <row r="5" spans="1:22" ht="31.5" customHeight="1" x14ac:dyDescent="0.2">
      <c r="A5" s="1295"/>
      <c r="B5" s="1295"/>
      <c r="C5" s="1298"/>
      <c r="D5" s="1298"/>
      <c r="E5" s="1303"/>
      <c r="F5" s="1304"/>
      <c r="G5" s="1305"/>
      <c r="H5" s="1303" t="s">
        <v>1944</v>
      </c>
      <c r="I5" s="1304" t="s">
        <v>334</v>
      </c>
      <c r="J5" s="1305"/>
      <c r="K5" s="1303" t="s">
        <v>2000</v>
      </c>
      <c r="L5" s="1304" t="s">
        <v>417</v>
      </c>
      <c r="M5" s="1305"/>
      <c r="N5" s="1303"/>
      <c r="O5" s="1304"/>
      <c r="P5" s="1305"/>
      <c r="Q5" s="1303"/>
      <c r="R5" s="1304"/>
      <c r="S5" s="1305"/>
      <c r="T5" s="1303"/>
      <c r="U5" s="1304"/>
      <c r="V5" s="1310"/>
    </row>
    <row r="6" spans="1:22" ht="22.5" customHeight="1" x14ac:dyDescent="0.2">
      <c r="A6" s="1296"/>
      <c r="B6" s="1296"/>
      <c r="C6" s="1299"/>
      <c r="D6" s="1299"/>
      <c r="E6" s="1306"/>
      <c r="F6" s="1307"/>
      <c r="G6" s="1308"/>
      <c r="H6" s="1306" t="s">
        <v>1944</v>
      </c>
      <c r="I6" s="1307" t="s">
        <v>334</v>
      </c>
      <c r="J6" s="1308"/>
      <c r="K6" s="1306" t="s">
        <v>2000</v>
      </c>
      <c r="L6" s="1307" t="s">
        <v>417</v>
      </c>
      <c r="M6" s="1308"/>
      <c r="N6" s="1306"/>
      <c r="O6" s="1307"/>
      <c r="P6" s="1308"/>
      <c r="Q6" s="1306"/>
      <c r="R6" s="1307"/>
      <c r="S6" s="1308"/>
      <c r="T6" s="1306"/>
      <c r="U6" s="1307"/>
      <c r="V6" s="1311"/>
    </row>
    <row r="7" spans="1:22" s="9" customFormat="1" ht="27.75" customHeight="1" x14ac:dyDescent="0.2">
      <c r="A7" s="1314" t="s">
        <v>58</v>
      </c>
      <c r="B7" s="1127"/>
      <c r="C7" s="1127"/>
      <c r="D7" s="1127"/>
      <c r="E7" s="61">
        <f>SUM(E8:E14)</f>
        <v>0</v>
      </c>
      <c r="F7" s="61">
        <f t="shared" ref="F7:S7" si="0">SUM(F8:F14)</f>
        <v>0</v>
      </c>
      <c r="G7" s="61">
        <f t="shared" si="0"/>
        <v>0</v>
      </c>
      <c r="H7" s="61">
        <f t="shared" si="0"/>
        <v>0</v>
      </c>
      <c r="I7" s="61">
        <f t="shared" si="0"/>
        <v>0</v>
      </c>
      <c r="J7" s="61">
        <f t="shared" si="0"/>
        <v>0</v>
      </c>
      <c r="K7" s="61">
        <f t="shared" si="0"/>
        <v>0</v>
      </c>
      <c r="L7" s="61">
        <f t="shared" si="0"/>
        <v>0</v>
      </c>
      <c r="M7" s="61">
        <f t="shared" si="0"/>
        <v>0</v>
      </c>
      <c r="N7" s="61">
        <f t="shared" si="0"/>
        <v>0</v>
      </c>
      <c r="O7" s="61">
        <f t="shared" si="0"/>
        <v>0</v>
      </c>
      <c r="P7" s="61">
        <f t="shared" si="0"/>
        <v>0</v>
      </c>
      <c r="Q7" s="61">
        <f t="shared" si="0"/>
        <v>720079203</v>
      </c>
      <c r="R7" s="61">
        <f>SUM(R8:R14)</f>
        <v>741863797</v>
      </c>
      <c r="S7" s="61">
        <f t="shared" si="0"/>
        <v>741863797</v>
      </c>
      <c r="T7" s="711">
        <f>+E7+Q7+N7+H7+K7</f>
        <v>720079203</v>
      </c>
      <c r="U7" s="711">
        <f>+F7+R7+O7+I7+L7</f>
        <v>741863797</v>
      </c>
      <c r="V7" s="711">
        <f>+G7+S7+P7+J7+M7</f>
        <v>741863797</v>
      </c>
    </row>
    <row r="8" spans="1:22" ht="19.5" customHeight="1" x14ac:dyDescent="0.2">
      <c r="A8" s="589" t="s">
        <v>191</v>
      </c>
      <c r="B8" s="590" t="s">
        <v>66</v>
      </c>
      <c r="C8" s="591" t="s">
        <v>1065</v>
      </c>
      <c r="D8" s="592" t="s">
        <v>1051</v>
      </c>
      <c r="E8" s="592"/>
      <c r="F8" s="592"/>
      <c r="G8" s="592"/>
      <c r="H8" s="592"/>
      <c r="I8" s="592"/>
      <c r="J8" s="592"/>
      <c r="K8" s="592"/>
      <c r="L8" s="592"/>
      <c r="M8" s="592"/>
      <c r="N8" s="592"/>
      <c r="O8" s="592"/>
      <c r="P8" s="592"/>
      <c r="Q8" s="707">
        <v>681454000</v>
      </c>
      <c r="R8" s="708">
        <v>681454000</v>
      </c>
      <c r="S8" s="709">
        <f>652553948+28900052</f>
        <v>681454000</v>
      </c>
      <c r="T8" s="711">
        <f t="shared" ref="T8:T23" si="1">+E8+Q8+N8+H8+K8</f>
        <v>681454000</v>
      </c>
      <c r="U8" s="711">
        <f t="shared" ref="U8:U23" si="2">+F8+R8+O8+I8+L8</f>
        <v>681454000</v>
      </c>
      <c r="V8" s="711">
        <f t="shared" ref="V8:V23" si="3">+G8+S8+P8+J8+M8</f>
        <v>681454000</v>
      </c>
    </row>
    <row r="9" spans="1:22" ht="24" customHeight="1" x14ac:dyDescent="0.2">
      <c r="A9" s="593" t="s">
        <v>192</v>
      </c>
      <c r="B9" s="594" t="s">
        <v>66</v>
      </c>
      <c r="C9" s="595" t="s">
        <v>1065</v>
      </c>
      <c r="D9" s="364" t="s">
        <v>1052</v>
      </c>
      <c r="E9" s="364"/>
      <c r="F9" s="364"/>
      <c r="G9" s="364"/>
      <c r="H9" s="364"/>
      <c r="I9" s="364"/>
      <c r="J9" s="364"/>
      <c r="K9" s="364"/>
      <c r="L9" s="364"/>
      <c r="M9" s="364"/>
      <c r="N9" s="364"/>
      <c r="O9" s="364"/>
      <c r="P9" s="364"/>
      <c r="Q9" s="596">
        <v>8625203</v>
      </c>
      <c r="R9" s="658">
        <v>8625203</v>
      </c>
      <c r="S9" s="710">
        <f>7878203+747000</f>
        <v>8625203</v>
      </c>
      <c r="T9" s="711">
        <f t="shared" si="1"/>
        <v>8625203</v>
      </c>
      <c r="U9" s="711">
        <f t="shared" si="2"/>
        <v>8625203</v>
      </c>
      <c r="V9" s="711">
        <f t="shared" si="3"/>
        <v>8625203</v>
      </c>
    </row>
    <row r="10" spans="1:22" ht="24" customHeight="1" x14ac:dyDescent="0.2">
      <c r="A10" s="593" t="s">
        <v>193</v>
      </c>
      <c r="B10" s="594" t="s">
        <v>66</v>
      </c>
      <c r="C10" s="595" t="s">
        <v>1065</v>
      </c>
      <c r="D10" s="364" t="s">
        <v>1232</v>
      </c>
      <c r="E10" s="364"/>
      <c r="F10" s="364"/>
      <c r="G10" s="364"/>
      <c r="H10" s="364"/>
      <c r="I10" s="364"/>
      <c r="J10" s="364"/>
      <c r="K10" s="364"/>
      <c r="L10" s="364"/>
      <c r="M10" s="364"/>
      <c r="N10" s="364"/>
      <c r="O10" s="364"/>
      <c r="P10" s="364"/>
      <c r="Q10" s="596">
        <v>30000000</v>
      </c>
      <c r="R10" s="658">
        <v>0</v>
      </c>
      <c r="S10" s="710"/>
      <c r="T10" s="711">
        <f t="shared" si="1"/>
        <v>30000000</v>
      </c>
      <c r="U10" s="711">
        <f t="shared" si="2"/>
        <v>0</v>
      </c>
      <c r="V10" s="711">
        <f t="shared" si="3"/>
        <v>0</v>
      </c>
    </row>
    <row r="11" spans="1:22" ht="24" customHeight="1" x14ac:dyDescent="0.2">
      <c r="A11" s="593" t="s">
        <v>194</v>
      </c>
      <c r="B11" s="594" t="s">
        <v>66</v>
      </c>
      <c r="C11" s="595" t="s">
        <v>1065</v>
      </c>
      <c r="D11" s="364" t="s">
        <v>2114</v>
      </c>
      <c r="E11" s="364"/>
      <c r="F11" s="364"/>
      <c r="G11" s="364"/>
      <c r="H11" s="364"/>
      <c r="I11" s="364"/>
      <c r="J11" s="364"/>
      <c r="K11" s="364"/>
      <c r="L11" s="364"/>
      <c r="M11" s="364"/>
      <c r="N11" s="364"/>
      <c r="O11" s="364"/>
      <c r="P11" s="364"/>
      <c r="Q11" s="596"/>
      <c r="R11" s="658">
        <v>4064000</v>
      </c>
      <c r="S11" s="710">
        <v>4064000</v>
      </c>
      <c r="T11" s="711">
        <f t="shared" si="1"/>
        <v>0</v>
      </c>
      <c r="U11" s="711">
        <f t="shared" si="2"/>
        <v>4064000</v>
      </c>
      <c r="V11" s="711">
        <f t="shared" si="3"/>
        <v>4064000</v>
      </c>
    </row>
    <row r="12" spans="1:22" ht="24" customHeight="1" x14ac:dyDescent="0.2">
      <c r="A12" s="593" t="s">
        <v>195</v>
      </c>
      <c r="B12" s="326" t="s">
        <v>66</v>
      </c>
      <c r="C12" s="595" t="s">
        <v>1065</v>
      </c>
      <c r="D12" s="364" t="s">
        <v>2168</v>
      </c>
      <c r="E12" s="364"/>
      <c r="F12" s="364"/>
      <c r="G12" s="364"/>
      <c r="H12" s="364"/>
      <c r="I12" s="364"/>
      <c r="J12" s="364"/>
      <c r="K12" s="364"/>
      <c r="L12" s="364"/>
      <c r="M12" s="364"/>
      <c r="N12" s="364"/>
      <c r="O12" s="364"/>
      <c r="P12" s="364"/>
      <c r="Q12" s="596"/>
      <c r="R12" s="658">
        <v>42973594</v>
      </c>
      <c r="S12" s="847">
        <v>42973594</v>
      </c>
      <c r="T12" s="711">
        <f t="shared" si="1"/>
        <v>0</v>
      </c>
      <c r="U12" s="711">
        <f t="shared" si="2"/>
        <v>42973594</v>
      </c>
      <c r="V12" s="711">
        <f t="shared" si="3"/>
        <v>42973594</v>
      </c>
    </row>
    <row r="13" spans="1:22" ht="25.5" customHeight="1" x14ac:dyDescent="0.2">
      <c r="A13" s="593" t="s">
        <v>196</v>
      </c>
      <c r="B13" s="326" t="s">
        <v>66</v>
      </c>
      <c r="C13" s="595" t="s">
        <v>1065</v>
      </c>
      <c r="D13" s="364" t="s">
        <v>2169</v>
      </c>
      <c r="E13" s="364"/>
      <c r="F13" s="364"/>
      <c r="G13" s="364"/>
      <c r="H13" s="364"/>
      <c r="I13" s="364"/>
      <c r="J13" s="364"/>
      <c r="K13" s="364"/>
      <c r="L13" s="364"/>
      <c r="M13" s="364"/>
      <c r="N13" s="364"/>
      <c r="O13" s="364"/>
      <c r="P13" s="364"/>
      <c r="Q13" s="596"/>
      <c r="R13" s="658">
        <v>4747000</v>
      </c>
      <c r="S13" s="847">
        <v>4747000</v>
      </c>
      <c r="T13" s="711">
        <f t="shared" si="1"/>
        <v>0</v>
      </c>
      <c r="U13" s="711">
        <f t="shared" si="2"/>
        <v>4747000</v>
      </c>
      <c r="V13" s="711">
        <f t="shared" si="3"/>
        <v>4747000</v>
      </c>
    </row>
    <row r="14" spans="1:22" ht="26.25" customHeight="1" x14ac:dyDescent="0.2">
      <c r="A14" s="846" t="s">
        <v>197</v>
      </c>
      <c r="B14" s="820" t="s">
        <v>66</v>
      </c>
      <c r="C14" s="823" t="s">
        <v>1065</v>
      </c>
      <c r="D14" s="819" t="s">
        <v>2170</v>
      </c>
      <c r="E14" s="819"/>
      <c r="F14" s="819"/>
      <c r="G14" s="819"/>
      <c r="H14" s="819"/>
      <c r="I14" s="819"/>
      <c r="J14" s="819"/>
      <c r="K14" s="819"/>
      <c r="L14" s="819"/>
      <c r="M14" s="819"/>
      <c r="N14" s="819"/>
      <c r="O14" s="819"/>
      <c r="P14" s="819"/>
      <c r="Q14" s="848"/>
      <c r="R14" s="849">
        <v>0</v>
      </c>
      <c r="S14" s="850"/>
      <c r="T14" s="711">
        <f t="shared" si="1"/>
        <v>0</v>
      </c>
      <c r="U14" s="711">
        <f t="shared" si="2"/>
        <v>0</v>
      </c>
      <c r="V14" s="711">
        <f t="shared" si="3"/>
        <v>0</v>
      </c>
    </row>
    <row r="15" spans="1:22" ht="22.5" customHeight="1" x14ac:dyDescent="0.2">
      <c r="A15" s="1314" t="s">
        <v>60</v>
      </c>
      <c r="B15" s="1127"/>
      <c r="C15" s="1127"/>
      <c r="D15" s="1127"/>
      <c r="E15" s="61">
        <f>+E16+E21+E19</f>
        <v>0</v>
      </c>
      <c r="F15" s="61">
        <f t="shared" ref="F15:S15" si="4">+F16+F21+F19</f>
        <v>5000</v>
      </c>
      <c r="G15" s="61">
        <f t="shared" si="4"/>
        <v>5000</v>
      </c>
      <c r="H15" s="61">
        <f t="shared" si="4"/>
        <v>0</v>
      </c>
      <c r="I15" s="61">
        <f>+I16+I21+I19</f>
        <v>30000</v>
      </c>
      <c r="J15" s="61">
        <f t="shared" si="4"/>
        <v>30000</v>
      </c>
      <c r="K15" s="61">
        <f t="shared" si="4"/>
        <v>0</v>
      </c>
      <c r="L15" s="61">
        <f t="shared" si="4"/>
        <v>5000</v>
      </c>
      <c r="M15" s="61">
        <f t="shared" si="4"/>
        <v>5000</v>
      </c>
      <c r="N15" s="61">
        <f t="shared" si="4"/>
        <v>0</v>
      </c>
      <c r="O15" s="61">
        <f t="shared" si="4"/>
        <v>75000</v>
      </c>
      <c r="P15" s="61">
        <f t="shared" si="4"/>
        <v>75000</v>
      </c>
      <c r="Q15" s="61">
        <f t="shared" si="4"/>
        <v>0</v>
      </c>
      <c r="R15" s="61">
        <f t="shared" si="4"/>
        <v>0</v>
      </c>
      <c r="S15" s="61">
        <f t="shared" si="4"/>
        <v>0</v>
      </c>
      <c r="T15" s="711">
        <f t="shared" si="1"/>
        <v>0</v>
      </c>
      <c r="U15" s="711">
        <f t="shared" si="2"/>
        <v>115000</v>
      </c>
      <c r="V15" s="711">
        <f t="shared" si="3"/>
        <v>115000</v>
      </c>
    </row>
    <row r="16" spans="1:22" ht="22.5" customHeight="1" x14ac:dyDescent="0.2">
      <c r="A16" s="1126" t="s">
        <v>468</v>
      </c>
      <c r="B16" s="1128"/>
      <c r="C16" s="1128"/>
      <c r="D16" s="1128"/>
      <c r="E16" s="61">
        <f>SUM(E17:E18)</f>
        <v>0</v>
      </c>
      <c r="F16" s="61">
        <f t="shared" ref="F16:S16" si="5">SUM(F17:F18)</f>
        <v>0</v>
      </c>
      <c r="G16" s="61">
        <f t="shared" si="5"/>
        <v>0</v>
      </c>
      <c r="H16" s="61">
        <f t="shared" si="5"/>
        <v>0</v>
      </c>
      <c r="I16" s="61">
        <f t="shared" si="5"/>
        <v>30000</v>
      </c>
      <c r="J16" s="61">
        <f t="shared" si="5"/>
        <v>30000</v>
      </c>
      <c r="K16" s="61">
        <f t="shared" si="5"/>
        <v>0</v>
      </c>
      <c r="L16" s="61">
        <f t="shared" si="5"/>
        <v>0</v>
      </c>
      <c r="M16" s="61">
        <f t="shared" si="5"/>
        <v>0</v>
      </c>
      <c r="N16" s="61">
        <f t="shared" si="5"/>
        <v>0</v>
      </c>
      <c r="O16" s="61">
        <f t="shared" si="5"/>
        <v>75000</v>
      </c>
      <c r="P16" s="61">
        <f t="shared" si="5"/>
        <v>75000</v>
      </c>
      <c r="Q16" s="61">
        <f t="shared" si="5"/>
        <v>0</v>
      </c>
      <c r="R16" s="61">
        <f t="shared" si="5"/>
        <v>0</v>
      </c>
      <c r="S16" s="61">
        <f t="shared" si="5"/>
        <v>0</v>
      </c>
      <c r="T16" s="711">
        <f t="shared" si="1"/>
        <v>0</v>
      </c>
      <c r="U16" s="711">
        <f t="shared" si="2"/>
        <v>105000</v>
      </c>
      <c r="V16" s="711">
        <f t="shared" si="3"/>
        <v>105000</v>
      </c>
    </row>
    <row r="17" spans="1:23" ht="22.5" customHeight="1" x14ac:dyDescent="0.2">
      <c r="A17" s="713" t="s">
        <v>191</v>
      </c>
      <c r="B17" s="714" t="s">
        <v>130</v>
      </c>
      <c r="C17" s="688" t="s">
        <v>1364</v>
      </c>
      <c r="D17" s="715" t="s">
        <v>1436</v>
      </c>
      <c r="E17" s="715"/>
      <c r="F17" s="716"/>
      <c r="G17" s="716"/>
      <c r="H17" s="716"/>
      <c r="I17" s="716"/>
      <c r="J17" s="716"/>
      <c r="K17" s="716"/>
      <c r="L17" s="716"/>
      <c r="M17" s="716"/>
      <c r="N17" s="716"/>
      <c r="O17" s="716">
        <v>75000</v>
      </c>
      <c r="P17" s="716">
        <v>75000</v>
      </c>
      <c r="Q17" s="717"/>
      <c r="R17" s="717"/>
      <c r="S17" s="718"/>
      <c r="T17" s="711">
        <f t="shared" si="1"/>
        <v>0</v>
      </c>
      <c r="U17" s="711">
        <f t="shared" si="2"/>
        <v>75000</v>
      </c>
      <c r="V17" s="711">
        <f t="shared" si="3"/>
        <v>75000</v>
      </c>
    </row>
    <row r="18" spans="1:23" ht="22.5" customHeight="1" x14ac:dyDescent="0.2">
      <c r="A18" s="846" t="s">
        <v>192</v>
      </c>
      <c r="B18" s="821" t="s">
        <v>90</v>
      </c>
      <c r="C18" s="823" t="s">
        <v>1364</v>
      </c>
      <c r="D18" s="822" t="s">
        <v>2171</v>
      </c>
      <c r="E18" s="822"/>
      <c r="F18" s="848"/>
      <c r="G18" s="848"/>
      <c r="H18" s="848"/>
      <c r="I18" s="848">
        <v>30000</v>
      </c>
      <c r="J18" s="848">
        <v>30000</v>
      </c>
      <c r="K18" s="848"/>
      <c r="L18" s="848"/>
      <c r="M18" s="848"/>
      <c r="N18" s="848"/>
      <c r="O18" s="848"/>
      <c r="P18" s="848"/>
      <c r="Q18" s="851"/>
      <c r="R18" s="851"/>
      <c r="S18" s="818"/>
      <c r="T18" s="711">
        <f t="shared" si="1"/>
        <v>0</v>
      </c>
      <c r="U18" s="711">
        <f t="shared" si="2"/>
        <v>30000</v>
      </c>
      <c r="V18" s="711">
        <f t="shared" si="3"/>
        <v>30000</v>
      </c>
    </row>
    <row r="19" spans="1:23" ht="22.5" customHeight="1" x14ac:dyDescent="0.2">
      <c r="A19" s="1126" t="s">
        <v>2172</v>
      </c>
      <c r="B19" s="1128"/>
      <c r="C19" s="1128"/>
      <c r="D19" s="1128"/>
      <c r="E19" s="61">
        <f>SUM(E20)</f>
        <v>0</v>
      </c>
      <c r="F19" s="61">
        <f t="shared" ref="F19:S19" si="6">SUM(F20)</f>
        <v>0</v>
      </c>
      <c r="G19" s="61">
        <f t="shared" si="6"/>
        <v>0</v>
      </c>
      <c r="H19" s="61">
        <f t="shared" si="6"/>
        <v>0</v>
      </c>
      <c r="I19" s="61">
        <f t="shared" si="6"/>
        <v>0</v>
      </c>
      <c r="J19" s="61">
        <f t="shared" si="6"/>
        <v>0</v>
      </c>
      <c r="K19" s="61">
        <f t="shared" si="6"/>
        <v>0</v>
      </c>
      <c r="L19" s="61">
        <f t="shared" si="6"/>
        <v>5000</v>
      </c>
      <c r="M19" s="61">
        <f t="shared" si="6"/>
        <v>5000</v>
      </c>
      <c r="N19" s="61">
        <f t="shared" si="6"/>
        <v>0</v>
      </c>
      <c r="O19" s="61">
        <f t="shared" si="6"/>
        <v>0</v>
      </c>
      <c r="P19" s="61">
        <f t="shared" si="6"/>
        <v>0</v>
      </c>
      <c r="Q19" s="61">
        <f t="shared" si="6"/>
        <v>0</v>
      </c>
      <c r="R19" s="61">
        <f t="shared" si="6"/>
        <v>0</v>
      </c>
      <c r="S19" s="61">
        <f t="shared" si="6"/>
        <v>0</v>
      </c>
      <c r="T19" s="711">
        <f t="shared" si="1"/>
        <v>0</v>
      </c>
      <c r="U19" s="711">
        <f t="shared" si="2"/>
        <v>5000</v>
      </c>
      <c r="V19" s="711">
        <f t="shared" si="3"/>
        <v>5000</v>
      </c>
    </row>
    <row r="20" spans="1:23" ht="22.5" customHeight="1" x14ac:dyDescent="0.2">
      <c r="A20" s="852" t="s">
        <v>191</v>
      </c>
      <c r="B20" s="853" t="s">
        <v>90</v>
      </c>
      <c r="C20" s="854" t="s">
        <v>1364</v>
      </c>
      <c r="D20" s="855" t="s">
        <v>2173</v>
      </c>
      <c r="E20" s="855"/>
      <c r="F20" s="856"/>
      <c r="G20" s="856"/>
      <c r="H20" s="856"/>
      <c r="I20" s="856"/>
      <c r="J20" s="856"/>
      <c r="K20" s="856"/>
      <c r="L20" s="856">
        <v>5000</v>
      </c>
      <c r="M20" s="856">
        <v>5000</v>
      </c>
      <c r="N20" s="856"/>
      <c r="O20" s="856"/>
      <c r="P20" s="856"/>
      <c r="Q20" s="857"/>
      <c r="R20" s="857"/>
      <c r="S20" s="858"/>
      <c r="T20" s="711">
        <f t="shared" si="1"/>
        <v>0</v>
      </c>
      <c r="U20" s="711">
        <f t="shared" si="2"/>
        <v>5000</v>
      </c>
      <c r="V20" s="711">
        <f t="shared" si="3"/>
        <v>5000</v>
      </c>
    </row>
    <row r="21" spans="1:23" ht="22.5" customHeight="1" x14ac:dyDescent="0.2">
      <c r="A21" s="1314" t="s">
        <v>579</v>
      </c>
      <c r="B21" s="1127"/>
      <c r="C21" s="1127"/>
      <c r="D21" s="1127"/>
      <c r="E21" s="61">
        <f>SUM(E22)</f>
        <v>0</v>
      </c>
      <c r="F21" s="61">
        <f t="shared" ref="F21:S21" si="7">SUM(F22)</f>
        <v>5000</v>
      </c>
      <c r="G21" s="61">
        <f t="shared" si="7"/>
        <v>5000</v>
      </c>
      <c r="H21" s="61"/>
      <c r="I21" s="61"/>
      <c r="J21" s="61"/>
      <c r="K21" s="61"/>
      <c r="L21" s="61"/>
      <c r="M21" s="61"/>
      <c r="N21" s="61">
        <f t="shared" si="7"/>
        <v>0</v>
      </c>
      <c r="O21" s="61">
        <f t="shared" si="7"/>
        <v>0</v>
      </c>
      <c r="P21" s="61">
        <f t="shared" si="7"/>
        <v>0</v>
      </c>
      <c r="Q21" s="61">
        <f t="shared" si="7"/>
        <v>0</v>
      </c>
      <c r="R21" s="61">
        <f t="shared" si="7"/>
        <v>0</v>
      </c>
      <c r="S21" s="356">
        <f t="shared" si="7"/>
        <v>0</v>
      </c>
      <c r="T21" s="711">
        <f t="shared" si="1"/>
        <v>0</v>
      </c>
      <c r="U21" s="711">
        <f t="shared" si="2"/>
        <v>5000</v>
      </c>
      <c r="V21" s="711">
        <f t="shared" si="3"/>
        <v>5000</v>
      </c>
    </row>
    <row r="22" spans="1:23" ht="19.5" customHeight="1" x14ac:dyDescent="0.2">
      <c r="A22" s="719" t="s">
        <v>191</v>
      </c>
      <c r="B22" s="720" t="s">
        <v>147</v>
      </c>
      <c r="C22" s="721" t="s">
        <v>1364</v>
      </c>
      <c r="D22" s="722" t="s">
        <v>1365</v>
      </c>
      <c r="E22" s="722"/>
      <c r="F22" s="723">
        <v>5000</v>
      </c>
      <c r="G22" s="723">
        <v>5000</v>
      </c>
      <c r="H22" s="723"/>
      <c r="I22" s="723"/>
      <c r="J22" s="723"/>
      <c r="K22" s="723"/>
      <c r="L22" s="723"/>
      <c r="M22" s="723"/>
      <c r="N22" s="723"/>
      <c r="O22" s="723"/>
      <c r="P22" s="723"/>
      <c r="Q22" s="724"/>
      <c r="R22" s="724"/>
      <c r="S22" s="725"/>
      <c r="T22" s="711">
        <f t="shared" si="1"/>
        <v>0</v>
      </c>
      <c r="U22" s="711">
        <f t="shared" si="2"/>
        <v>5000</v>
      </c>
      <c r="V22" s="711">
        <f t="shared" si="3"/>
        <v>5000</v>
      </c>
    </row>
    <row r="23" spans="1:23" ht="23.25" customHeight="1" x14ac:dyDescent="0.2">
      <c r="A23" s="1312" t="s">
        <v>29</v>
      </c>
      <c r="B23" s="1313"/>
      <c r="C23" s="1313"/>
      <c r="D23" s="1313"/>
      <c r="E23" s="726">
        <f>+E15+E7</f>
        <v>0</v>
      </c>
      <c r="F23" s="726">
        <f t="shared" ref="F23:S23" si="8">+F15+F7</f>
        <v>5000</v>
      </c>
      <c r="G23" s="726">
        <f t="shared" si="8"/>
        <v>5000</v>
      </c>
      <c r="H23" s="726">
        <f t="shared" si="8"/>
        <v>0</v>
      </c>
      <c r="I23" s="726">
        <f t="shared" si="8"/>
        <v>30000</v>
      </c>
      <c r="J23" s="726">
        <f t="shared" si="8"/>
        <v>30000</v>
      </c>
      <c r="K23" s="726">
        <f t="shared" si="8"/>
        <v>0</v>
      </c>
      <c r="L23" s="726">
        <f t="shared" si="8"/>
        <v>5000</v>
      </c>
      <c r="M23" s="726">
        <f t="shared" si="8"/>
        <v>5000</v>
      </c>
      <c r="N23" s="726">
        <f t="shared" si="8"/>
        <v>0</v>
      </c>
      <c r="O23" s="726">
        <f t="shared" si="8"/>
        <v>75000</v>
      </c>
      <c r="P23" s="726">
        <f t="shared" si="8"/>
        <v>75000</v>
      </c>
      <c r="Q23" s="726">
        <f t="shared" si="8"/>
        <v>720079203</v>
      </c>
      <c r="R23" s="726">
        <f t="shared" si="8"/>
        <v>741863797</v>
      </c>
      <c r="S23" s="726">
        <f t="shared" si="8"/>
        <v>741863797</v>
      </c>
      <c r="T23" s="711">
        <f t="shared" si="1"/>
        <v>720079203</v>
      </c>
      <c r="U23" s="711">
        <f t="shared" si="2"/>
        <v>741978797</v>
      </c>
      <c r="V23" s="711">
        <f t="shared" si="3"/>
        <v>741978797</v>
      </c>
      <c r="W23" s="706"/>
    </row>
  </sheetData>
  <mergeCells count="18">
    <mergeCell ref="A23:D23"/>
    <mergeCell ref="A7:D7"/>
    <mergeCell ref="A15:D15"/>
    <mergeCell ref="A21:D21"/>
    <mergeCell ref="A16:D16"/>
    <mergeCell ref="A19:D19"/>
    <mergeCell ref="A1:V1"/>
    <mergeCell ref="A2:Q2"/>
    <mergeCell ref="B3:B6"/>
    <mergeCell ref="A3:A6"/>
    <mergeCell ref="C3:C6"/>
    <mergeCell ref="D3:D6"/>
    <mergeCell ref="N4:P6"/>
    <mergeCell ref="Q4:S6"/>
    <mergeCell ref="T4:V6"/>
    <mergeCell ref="E4:G6"/>
    <mergeCell ref="H4:J6"/>
    <mergeCell ref="K4:M6"/>
  </mergeCells>
  <printOptions horizontalCentered="1"/>
  <pageMargins left="0.70866141732283472" right="0.70866141732283472" top="0.74803149606299213" bottom="0.74803149606299213" header="0.31496062992125984" footer="0.31496062992125984"/>
  <pageSetup paperSize="9" scale="55" orientation="landscape" r:id="rId1"/>
  <headerFooter>
    <oddHeader>&amp;C2022. évi zárszámadás&amp;R&amp;A</oddHeader>
    <oddFooter>&amp;C&amp;P/&amp;N</oddFooter>
  </headerFooter>
  <colBreaks count="1" manualBreakCount="1">
    <brk id="13" max="22"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51"/>
  <sheetViews>
    <sheetView zoomScale="76" zoomScaleNormal="76" zoomScaleSheetLayoutView="76" workbookViewId="0">
      <selection activeCell="H2" sqref="H2"/>
    </sheetView>
  </sheetViews>
  <sheetFormatPr defaultRowHeight="12.75" x14ac:dyDescent="0.2"/>
  <cols>
    <col min="1" max="1" width="39.28515625" customWidth="1"/>
    <col min="3" max="4" width="16" customWidth="1"/>
    <col min="5" max="6" width="16" style="305" customWidth="1"/>
    <col min="7" max="7" width="15.5703125" customWidth="1"/>
    <col min="8" max="8" width="22.140625" bestFit="1" customWidth="1"/>
    <col min="9" max="10" width="17.85546875" customWidth="1"/>
  </cols>
  <sheetData>
    <row r="1" spans="1:10" ht="42.75" customHeight="1" x14ac:dyDescent="0.2">
      <c r="A1" s="1315" t="s">
        <v>473</v>
      </c>
      <c r="B1" s="1315"/>
      <c r="C1" s="1315"/>
      <c r="D1" s="1315"/>
      <c r="E1" s="1315"/>
      <c r="F1" s="1315"/>
      <c r="G1" s="1315"/>
      <c r="H1" s="1315"/>
      <c r="I1" s="1315"/>
    </row>
    <row r="2" spans="1:10" s="121" customFormat="1" ht="105.75" customHeight="1" x14ac:dyDescent="0.25">
      <c r="A2" s="119" t="s">
        <v>419</v>
      </c>
      <c r="B2" s="286" t="s">
        <v>647</v>
      </c>
      <c r="C2" s="120" t="s">
        <v>469</v>
      </c>
      <c r="D2" s="120" t="s">
        <v>1179</v>
      </c>
      <c r="E2" s="120" t="s">
        <v>967</v>
      </c>
      <c r="F2" s="120" t="s">
        <v>2193</v>
      </c>
      <c r="G2" s="120" t="s">
        <v>470</v>
      </c>
      <c r="H2" s="120" t="s">
        <v>471</v>
      </c>
      <c r="I2" s="120" t="s">
        <v>472</v>
      </c>
      <c r="J2" s="120" t="s">
        <v>2194</v>
      </c>
    </row>
    <row r="3" spans="1:10" s="122" customFormat="1" ht="31.5" customHeight="1" x14ac:dyDescent="0.25">
      <c r="A3" s="152" t="s">
        <v>420</v>
      </c>
      <c r="B3" s="153"/>
      <c r="C3" s="154">
        <f t="shared" ref="C3:H3" si="0">SUM(C4:C13)</f>
        <v>25</v>
      </c>
      <c r="D3" s="154">
        <f t="shared" si="0"/>
        <v>25</v>
      </c>
      <c r="E3" s="154">
        <f t="shared" si="0"/>
        <v>5</v>
      </c>
      <c r="F3" s="154">
        <f t="shared" si="0"/>
        <v>6</v>
      </c>
      <c r="G3" s="154">
        <f t="shared" si="0"/>
        <v>23.9</v>
      </c>
      <c r="H3" s="154">
        <f t="shared" si="0"/>
        <v>20.700000000000003</v>
      </c>
      <c r="I3" s="154">
        <f>SUM(I4:I11)</f>
        <v>20</v>
      </c>
      <c r="J3" s="154">
        <f>SUM(J4:J13)</f>
        <v>20</v>
      </c>
    </row>
    <row r="4" spans="1:10" s="121" customFormat="1" ht="25.5" customHeight="1" x14ac:dyDescent="0.25">
      <c r="A4" s="155" t="s">
        <v>421</v>
      </c>
      <c r="B4" s="151" t="s">
        <v>422</v>
      </c>
      <c r="C4" s="156">
        <v>1</v>
      </c>
      <c r="D4" s="156">
        <v>1</v>
      </c>
      <c r="E4" s="156">
        <v>0</v>
      </c>
      <c r="F4" s="156">
        <v>0</v>
      </c>
      <c r="G4" s="156">
        <v>1</v>
      </c>
      <c r="H4" s="156">
        <v>1</v>
      </c>
      <c r="I4" s="156">
        <v>1</v>
      </c>
      <c r="J4" s="156">
        <v>1</v>
      </c>
    </row>
    <row r="5" spans="1:10" s="121" customFormat="1" ht="25.5" customHeight="1" x14ac:dyDescent="0.25">
      <c r="A5" s="155" t="s">
        <v>504</v>
      </c>
      <c r="B5" s="157" t="s">
        <v>505</v>
      </c>
      <c r="C5" s="156">
        <v>2</v>
      </c>
      <c r="D5" s="156">
        <v>2</v>
      </c>
      <c r="E5" s="156">
        <v>1</v>
      </c>
      <c r="F5" s="156">
        <v>1</v>
      </c>
      <c r="G5" s="156">
        <v>2</v>
      </c>
      <c r="H5" s="156">
        <v>1</v>
      </c>
      <c r="I5" s="156">
        <v>1</v>
      </c>
      <c r="J5" s="156">
        <v>1</v>
      </c>
    </row>
    <row r="6" spans="1:10" s="121" customFormat="1" ht="25.5" customHeight="1" x14ac:dyDescent="0.25">
      <c r="A6" s="155" t="s">
        <v>423</v>
      </c>
      <c r="B6" s="151" t="s">
        <v>424</v>
      </c>
      <c r="C6" s="156">
        <v>2</v>
      </c>
      <c r="D6" s="156">
        <v>2</v>
      </c>
      <c r="E6" s="156">
        <v>0</v>
      </c>
      <c r="F6" s="156">
        <v>1</v>
      </c>
      <c r="G6" s="156">
        <v>1.1499999999999999</v>
      </c>
      <c r="H6" s="156">
        <v>2</v>
      </c>
      <c r="I6" s="156">
        <v>2</v>
      </c>
      <c r="J6" s="156">
        <v>2</v>
      </c>
    </row>
    <row r="7" spans="1:10" s="121" customFormat="1" ht="25.5" customHeight="1" x14ac:dyDescent="0.25">
      <c r="A7" s="155" t="s">
        <v>425</v>
      </c>
      <c r="B7" s="151" t="s">
        <v>426</v>
      </c>
      <c r="C7" s="156">
        <v>2</v>
      </c>
      <c r="D7" s="156">
        <v>2</v>
      </c>
      <c r="E7" s="156">
        <v>1</v>
      </c>
      <c r="F7" s="156">
        <v>1</v>
      </c>
      <c r="G7" s="156">
        <v>2</v>
      </c>
      <c r="H7" s="156">
        <v>1</v>
      </c>
      <c r="I7" s="156">
        <v>1</v>
      </c>
      <c r="J7" s="156">
        <v>1</v>
      </c>
    </row>
    <row r="8" spans="1:10" s="121" customFormat="1" ht="30.75" customHeight="1" x14ac:dyDescent="0.25">
      <c r="A8" s="155" t="s">
        <v>427</v>
      </c>
      <c r="B8" s="151" t="s">
        <v>132</v>
      </c>
      <c r="C8" s="156">
        <v>3</v>
      </c>
      <c r="D8" s="156">
        <v>3</v>
      </c>
      <c r="E8" s="156">
        <v>1</v>
      </c>
      <c r="F8" s="156">
        <v>1</v>
      </c>
      <c r="G8" s="156">
        <v>2.75</v>
      </c>
      <c r="H8" s="156">
        <v>2</v>
      </c>
      <c r="I8" s="156">
        <v>2</v>
      </c>
      <c r="J8" s="156">
        <v>2.6</v>
      </c>
    </row>
    <row r="9" spans="1:10" s="121" customFormat="1" ht="25.5" customHeight="1" x14ac:dyDescent="0.25">
      <c r="A9" s="155" t="s">
        <v>428</v>
      </c>
      <c r="B9" s="151" t="s">
        <v>429</v>
      </c>
      <c r="C9" s="156">
        <v>2</v>
      </c>
      <c r="D9" s="156">
        <v>2</v>
      </c>
      <c r="E9" s="156">
        <v>1</v>
      </c>
      <c r="F9" s="156">
        <v>1</v>
      </c>
      <c r="G9" s="156">
        <v>2</v>
      </c>
      <c r="H9" s="156">
        <v>1.3</v>
      </c>
      <c r="I9" s="156">
        <v>1</v>
      </c>
      <c r="J9" s="156">
        <v>0.6</v>
      </c>
    </row>
    <row r="10" spans="1:10" s="121" customFormat="1" ht="25.5" customHeight="1" x14ac:dyDescent="0.25">
      <c r="A10" s="155" t="s">
        <v>430</v>
      </c>
      <c r="B10" s="151" t="s">
        <v>431</v>
      </c>
      <c r="C10" s="156">
        <v>5</v>
      </c>
      <c r="D10" s="156">
        <v>5</v>
      </c>
      <c r="E10" s="156">
        <v>0</v>
      </c>
      <c r="F10" s="156">
        <v>0</v>
      </c>
      <c r="G10" s="156">
        <v>5</v>
      </c>
      <c r="H10" s="156">
        <v>5</v>
      </c>
      <c r="I10" s="156">
        <v>5</v>
      </c>
      <c r="J10" s="156">
        <v>4</v>
      </c>
    </row>
    <row r="11" spans="1:10" s="121" customFormat="1" ht="25.5" customHeight="1" x14ac:dyDescent="0.25">
      <c r="A11" s="155" t="s">
        <v>578</v>
      </c>
      <c r="B11" s="157" t="s">
        <v>495</v>
      </c>
      <c r="C11" s="156">
        <v>7</v>
      </c>
      <c r="D11" s="156">
        <v>7</v>
      </c>
      <c r="E11" s="156">
        <v>0</v>
      </c>
      <c r="F11" s="156">
        <v>0</v>
      </c>
      <c r="G11" s="156">
        <v>7</v>
      </c>
      <c r="H11" s="156">
        <v>6.4</v>
      </c>
      <c r="I11" s="156">
        <v>7</v>
      </c>
      <c r="J11" s="156">
        <v>6.8</v>
      </c>
    </row>
    <row r="12" spans="1:10" s="121" customFormat="1" ht="25.5" customHeight="1" x14ac:dyDescent="0.25">
      <c r="A12" s="155" t="s">
        <v>1042</v>
      </c>
      <c r="B12" s="157" t="s">
        <v>1041</v>
      </c>
      <c r="C12" s="156">
        <v>1</v>
      </c>
      <c r="D12" s="156">
        <v>1</v>
      </c>
      <c r="E12" s="156">
        <v>1</v>
      </c>
      <c r="F12" s="156">
        <v>1</v>
      </c>
      <c r="G12" s="156">
        <v>1</v>
      </c>
      <c r="H12" s="156">
        <v>1</v>
      </c>
      <c r="I12" s="156">
        <v>0</v>
      </c>
      <c r="J12" s="156">
        <v>1</v>
      </c>
    </row>
    <row r="13" spans="1:10" s="121" customFormat="1" ht="25.5" customHeight="1" x14ac:dyDescent="0.25">
      <c r="A13" s="155" t="s">
        <v>899</v>
      </c>
      <c r="B13" s="157" t="s">
        <v>604</v>
      </c>
      <c r="C13" s="156">
        <v>0</v>
      </c>
      <c r="D13" s="156">
        <v>0</v>
      </c>
      <c r="E13" s="156">
        <v>0</v>
      </c>
      <c r="F13" s="156">
        <v>0</v>
      </c>
      <c r="G13" s="156">
        <v>0</v>
      </c>
      <c r="H13" s="156">
        <v>0</v>
      </c>
      <c r="I13" s="156">
        <v>0</v>
      </c>
      <c r="J13" s="156">
        <v>0</v>
      </c>
    </row>
    <row r="14" spans="1:10" s="122" customFormat="1" ht="29.25" customHeight="1" x14ac:dyDescent="0.25">
      <c r="A14" s="152" t="s">
        <v>86</v>
      </c>
      <c r="B14" s="153"/>
      <c r="C14" s="154">
        <f t="shared" ref="C14:J14" si="1">SUM(C15:C18)</f>
        <v>71</v>
      </c>
      <c r="D14" s="154">
        <f t="shared" si="1"/>
        <v>71</v>
      </c>
      <c r="E14" s="154">
        <f t="shared" si="1"/>
        <v>3</v>
      </c>
      <c r="F14" s="154">
        <f t="shared" si="1"/>
        <v>7</v>
      </c>
      <c r="G14" s="154">
        <f t="shared" si="1"/>
        <v>71</v>
      </c>
      <c r="H14" s="154">
        <f t="shared" si="1"/>
        <v>61.2</v>
      </c>
      <c r="I14" s="154">
        <f t="shared" si="1"/>
        <v>68</v>
      </c>
      <c r="J14" s="154">
        <f t="shared" si="1"/>
        <v>61.999999999999993</v>
      </c>
    </row>
    <row r="15" spans="1:10" s="121" customFormat="1" ht="25.5" customHeight="1" x14ac:dyDescent="0.25">
      <c r="A15" s="155" t="s">
        <v>432</v>
      </c>
      <c r="B15" s="151" t="s">
        <v>90</v>
      </c>
      <c r="C15" s="156">
        <v>49</v>
      </c>
      <c r="D15" s="156">
        <v>49</v>
      </c>
      <c r="E15" s="156">
        <v>0</v>
      </c>
      <c r="F15" s="156">
        <v>5</v>
      </c>
      <c r="G15" s="156">
        <v>49</v>
      </c>
      <c r="H15" s="156">
        <v>42.8</v>
      </c>
      <c r="I15" s="156">
        <v>48</v>
      </c>
      <c r="J15" s="156">
        <v>42.8</v>
      </c>
    </row>
    <row r="16" spans="1:10" s="121" customFormat="1" ht="25.5" customHeight="1" x14ac:dyDescent="0.25">
      <c r="A16" s="155" t="s">
        <v>433</v>
      </c>
      <c r="B16" s="151" t="s">
        <v>128</v>
      </c>
      <c r="C16" s="156">
        <v>7</v>
      </c>
      <c r="D16" s="156">
        <v>7</v>
      </c>
      <c r="E16" s="156">
        <v>0</v>
      </c>
      <c r="F16" s="156">
        <v>0</v>
      </c>
      <c r="G16" s="156">
        <v>7</v>
      </c>
      <c r="H16" s="156">
        <v>6.7</v>
      </c>
      <c r="I16" s="156">
        <v>7</v>
      </c>
      <c r="J16" s="156">
        <v>6.8</v>
      </c>
    </row>
    <row r="17" spans="1:10" s="121" customFormat="1" ht="25.5" customHeight="1" x14ac:dyDescent="0.25">
      <c r="A17" s="155" t="s">
        <v>434</v>
      </c>
      <c r="B17" s="151" t="s">
        <v>147</v>
      </c>
      <c r="C17" s="156">
        <v>2</v>
      </c>
      <c r="D17" s="156">
        <v>2</v>
      </c>
      <c r="E17" s="156">
        <v>0</v>
      </c>
      <c r="F17" s="156">
        <v>0</v>
      </c>
      <c r="G17" s="156">
        <v>2</v>
      </c>
      <c r="H17" s="156">
        <v>2</v>
      </c>
      <c r="I17" s="156">
        <v>2</v>
      </c>
      <c r="J17" s="156">
        <v>2</v>
      </c>
    </row>
    <row r="18" spans="1:10" s="121" customFormat="1" ht="25.5" customHeight="1" x14ac:dyDescent="0.25">
      <c r="A18" s="155" t="s">
        <v>774</v>
      </c>
      <c r="B18" s="151" t="s">
        <v>130</v>
      </c>
      <c r="C18" s="156">
        <v>13</v>
      </c>
      <c r="D18" s="156">
        <v>13</v>
      </c>
      <c r="E18" s="156">
        <v>3</v>
      </c>
      <c r="F18" s="156">
        <v>2</v>
      </c>
      <c r="G18" s="156">
        <v>13</v>
      </c>
      <c r="H18" s="156">
        <v>9.6999999999999993</v>
      </c>
      <c r="I18" s="156">
        <v>11</v>
      </c>
      <c r="J18" s="156">
        <v>10.4</v>
      </c>
    </row>
    <row r="19" spans="1:10" s="122" customFormat="1" ht="25.5" customHeight="1" x14ac:dyDescent="0.25">
      <c r="A19" s="152" t="s">
        <v>23</v>
      </c>
      <c r="B19" s="153"/>
      <c r="C19" s="154">
        <f t="shared" ref="C19:J19" si="2">SUM(C20:C22)</f>
        <v>49</v>
      </c>
      <c r="D19" s="154">
        <f t="shared" si="2"/>
        <v>49</v>
      </c>
      <c r="E19" s="154">
        <f t="shared" si="2"/>
        <v>0</v>
      </c>
      <c r="F19" s="154">
        <f t="shared" si="2"/>
        <v>0</v>
      </c>
      <c r="G19" s="154">
        <f t="shared" si="2"/>
        <v>49</v>
      </c>
      <c r="H19" s="154">
        <f t="shared" si="2"/>
        <v>47.6</v>
      </c>
      <c r="I19" s="154">
        <f t="shared" si="2"/>
        <v>50</v>
      </c>
      <c r="J19" s="154">
        <f t="shared" si="2"/>
        <v>47.7</v>
      </c>
    </row>
    <row r="20" spans="1:10" s="121" customFormat="1" ht="25.5" customHeight="1" x14ac:dyDescent="0.25">
      <c r="A20" s="155" t="s">
        <v>435</v>
      </c>
      <c r="B20" s="151" t="s">
        <v>90</v>
      </c>
      <c r="C20" s="156">
        <v>5</v>
      </c>
      <c r="D20" s="156">
        <v>5</v>
      </c>
      <c r="E20" s="156">
        <v>0</v>
      </c>
      <c r="F20" s="156">
        <v>0</v>
      </c>
      <c r="G20" s="156">
        <v>5</v>
      </c>
      <c r="H20" s="156">
        <v>8.5</v>
      </c>
      <c r="I20" s="156">
        <v>5</v>
      </c>
      <c r="J20" s="156">
        <v>3.8</v>
      </c>
    </row>
    <row r="21" spans="1:10" s="121" customFormat="1" ht="25.5" customHeight="1" x14ac:dyDescent="0.25">
      <c r="A21" s="155" t="s">
        <v>436</v>
      </c>
      <c r="B21" s="151" t="s">
        <v>128</v>
      </c>
      <c r="C21" s="156">
        <v>24</v>
      </c>
      <c r="D21" s="156">
        <v>24</v>
      </c>
      <c r="E21" s="156">
        <v>0</v>
      </c>
      <c r="F21" s="156">
        <v>0</v>
      </c>
      <c r="G21" s="156">
        <v>24</v>
      </c>
      <c r="H21" s="156">
        <v>19.100000000000001</v>
      </c>
      <c r="I21" s="156">
        <v>25</v>
      </c>
      <c r="J21" s="156">
        <v>24.9</v>
      </c>
    </row>
    <row r="22" spans="1:10" s="121" customFormat="1" ht="25.5" customHeight="1" x14ac:dyDescent="0.25">
      <c r="A22" s="155" t="s">
        <v>436</v>
      </c>
      <c r="B22" s="157" t="s">
        <v>147</v>
      </c>
      <c r="C22" s="156">
        <v>20</v>
      </c>
      <c r="D22" s="156">
        <v>20</v>
      </c>
      <c r="E22" s="156">
        <v>0</v>
      </c>
      <c r="F22" s="156">
        <v>0</v>
      </c>
      <c r="G22" s="156">
        <v>20</v>
      </c>
      <c r="H22" s="156">
        <v>20</v>
      </c>
      <c r="I22" s="156">
        <v>20</v>
      </c>
      <c r="J22" s="156">
        <v>19</v>
      </c>
    </row>
    <row r="23" spans="1:10" s="122" customFormat="1" ht="25.5" customHeight="1" x14ac:dyDescent="0.25">
      <c r="A23" s="152" t="s">
        <v>24</v>
      </c>
      <c r="B23" s="153"/>
      <c r="C23" s="154">
        <f t="shared" ref="C23:J23" si="3">C24+C25</f>
        <v>52</v>
      </c>
      <c r="D23" s="154">
        <f t="shared" si="3"/>
        <v>52</v>
      </c>
      <c r="E23" s="154">
        <f t="shared" si="3"/>
        <v>1</v>
      </c>
      <c r="F23" s="154">
        <f t="shared" si="3"/>
        <v>0</v>
      </c>
      <c r="G23" s="154">
        <f t="shared" si="3"/>
        <v>52</v>
      </c>
      <c r="H23" s="154">
        <f t="shared" si="3"/>
        <v>50.7</v>
      </c>
      <c r="I23" s="154">
        <f t="shared" si="3"/>
        <v>57</v>
      </c>
      <c r="J23" s="154">
        <f t="shared" si="3"/>
        <v>48.9</v>
      </c>
    </row>
    <row r="24" spans="1:10" s="121" customFormat="1" ht="25.5" customHeight="1" x14ac:dyDescent="0.25">
      <c r="A24" s="155" t="s">
        <v>437</v>
      </c>
      <c r="B24" s="151" t="s">
        <v>90</v>
      </c>
      <c r="C24" s="156">
        <v>48</v>
      </c>
      <c r="D24" s="156">
        <v>48</v>
      </c>
      <c r="E24" s="156">
        <v>1</v>
      </c>
      <c r="F24" s="156">
        <v>0</v>
      </c>
      <c r="G24" s="156">
        <v>48</v>
      </c>
      <c r="H24" s="156">
        <v>48</v>
      </c>
      <c r="I24" s="156">
        <v>53</v>
      </c>
      <c r="J24" s="156">
        <v>46.9</v>
      </c>
    </row>
    <row r="25" spans="1:10" s="121" customFormat="1" ht="37.5" customHeight="1" x14ac:dyDescent="0.25">
      <c r="A25" s="155" t="s">
        <v>606</v>
      </c>
      <c r="B25" s="157" t="s">
        <v>128</v>
      </c>
      <c r="C25" s="156">
        <v>4</v>
      </c>
      <c r="D25" s="156">
        <v>4</v>
      </c>
      <c r="E25" s="156">
        <v>0</v>
      </c>
      <c r="F25" s="156">
        <v>0</v>
      </c>
      <c r="G25" s="156">
        <v>4</v>
      </c>
      <c r="H25" s="156">
        <v>2.7</v>
      </c>
      <c r="I25" s="156">
        <v>4</v>
      </c>
      <c r="J25" s="156">
        <v>2</v>
      </c>
    </row>
    <row r="26" spans="1:10" s="121" customFormat="1" ht="25.5" customHeight="1" x14ac:dyDescent="0.25">
      <c r="A26" s="152" t="s">
        <v>565</v>
      </c>
      <c r="B26" s="153"/>
      <c r="C26" s="154">
        <f t="shared" ref="C26:J26" si="4">SUM(C27:C28)</f>
        <v>46</v>
      </c>
      <c r="D26" s="154">
        <f t="shared" si="4"/>
        <v>46</v>
      </c>
      <c r="E26" s="154">
        <f t="shared" si="4"/>
        <v>1</v>
      </c>
      <c r="F26" s="154">
        <f t="shared" si="4"/>
        <v>1</v>
      </c>
      <c r="G26" s="154">
        <f t="shared" si="4"/>
        <v>46</v>
      </c>
      <c r="H26" s="154">
        <f t="shared" si="4"/>
        <v>42.3</v>
      </c>
      <c r="I26" s="154">
        <f t="shared" si="4"/>
        <v>47</v>
      </c>
      <c r="J26" s="154">
        <f t="shared" si="4"/>
        <v>42.7</v>
      </c>
    </row>
    <row r="27" spans="1:10" s="121" customFormat="1" ht="25.5" customHeight="1" x14ac:dyDescent="0.25">
      <c r="A27" s="155" t="s">
        <v>438</v>
      </c>
      <c r="B27" s="151" t="s">
        <v>128</v>
      </c>
      <c r="C27" s="156">
        <v>16</v>
      </c>
      <c r="D27" s="156">
        <v>16</v>
      </c>
      <c r="E27" s="156"/>
      <c r="F27" s="156">
        <v>0</v>
      </c>
      <c r="G27" s="156">
        <v>16</v>
      </c>
      <c r="H27" s="156">
        <v>13.4</v>
      </c>
      <c r="I27" s="156">
        <v>16</v>
      </c>
      <c r="J27" s="156">
        <v>13</v>
      </c>
    </row>
    <row r="28" spans="1:10" s="121" customFormat="1" ht="25.5" customHeight="1" x14ac:dyDescent="0.25">
      <c r="A28" s="155" t="s">
        <v>439</v>
      </c>
      <c r="B28" s="151" t="s">
        <v>90</v>
      </c>
      <c r="C28" s="156">
        <v>30</v>
      </c>
      <c r="D28" s="156">
        <v>30</v>
      </c>
      <c r="E28" s="156">
        <v>1</v>
      </c>
      <c r="F28" s="156">
        <v>1</v>
      </c>
      <c r="G28" s="156">
        <v>30</v>
      </c>
      <c r="H28" s="156">
        <v>28.9</v>
      </c>
      <c r="I28" s="156">
        <v>31</v>
      </c>
      <c r="J28" s="156">
        <v>29.7</v>
      </c>
    </row>
    <row r="29" spans="1:10" s="122" customFormat="1" ht="25.5" customHeight="1" x14ac:dyDescent="0.25">
      <c r="A29" s="152" t="s">
        <v>87</v>
      </c>
      <c r="B29" s="158"/>
      <c r="C29" s="154">
        <f t="shared" ref="C29:J29" si="5">SUM(C30:C31)</f>
        <v>75</v>
      </c>
      <c r="D29" s="154">
        <f t="shared" si="5"/>
        <v>75</v>
      </c>
      <c r="E29" s="154">
        <f t="shared" si="5"/>
        <v>0</v>
      </c>
      <c r="F29" s="154">
        <f t="shared" si="5"/>
        <v>1</v>
      </c>
      <c r="G29" s="154">
        <f t="shared" si="5"/>
        <v>75</v>
      </c>
      <c r="H29" s="154">
        <f t="shared" si="5"/>
        <v>73.099999999999994</v>
      </c>
      <c r="I29" s="154">
        <f t="shared" si="5"/>
        <v>76</v>
      </c>
      <c r="J29" s="154">
        <f t="shared" si="5"/>
        <v>73.900000000000006</v>
      </c>
    </row>
    <row r="30" spans="1:10" s="121" customFormat="1" ht="25.5" customHeight="1" x14ac:dyDescent="0.25">
      <c r="A30" s="155" t="s">
        <v>440</v>
      </c>
      <c r="B30" s="151" t="s">
        <v>90</v>
      </c>
      <c r="C30" s="156">
        <v>51</v>
      </c>
      <c r="D30" s="156">
        <v>51</v>
      </c>
      <c r="E30" s="156">
        <v>0</v>
      </c>
      <c r="F30" s="156">
        <v>1</v>
      </c>
      <c r="G30" s="156">
        <v>51</v>
      </c>
      <c r="H30" s="156">
        <v>49.1</v>
      </c>
      <c r="I30" s="156">
        <v>51</v>
      </c>
      <c r="J30" s="156">
        <v>51.2</v>
      </c>
    </row>
    <row r="31" spans="1:10" s="121" customFormat="1" ht="25.5" customHeight="1" x14ac:dyDescent="0.25">
      <c r="A31" s="155" t="s">
        <v>441</v>
      </c>
      <c r="B31" s="151" t="s">
        <v>128</v>
      </c>
      <c r="C31" s="156">
        <v>24</v>
      </c>
      <c r="D31" s="156">
        <v>24</v>
      </c>
      <c r="E31" s="156">
        <v>0</v>
      </c>
      <c r="F31" s="156">
        <v>0</v>
      </c>
      <c r="G31" s="156">
        <v>24</v>
      </c>
      <c r="H31" s="156">
        <v>24</v>
      </c>
      <c r="I31" s="156">
        <v>25</v>
      </c>
      <c r="J31" s="156">
        <v>22.7</v>
      </c>
    </row>
    <row r="32" spans="1:10" s="122" customFormat="1" ht="30" x14ac:dyDescent="0.25">
      <c r="A32" s="152" t="s">
        <v>25</v>
      </c>
      <c r="B32" s="159"/>
      <c r="C32" s="154">
        <f t="shared" ref="C32:J32" si="6">SUM(C33:C42)</f>
        <v>37</v>
      </c>
      <c r="D32" s="154">
        <f t="shared" si="6"/>
        <v>37</v>
      </c>
      <c r="E32" s="154">
        <f t="shared" si="6"/>
        <v>2</v>
      </c>
      <c r="F32" s="154">
        <f t="shared" si="6"/>
        <v>2</v>
      </c>
      <c r="G32" s="154">
        <f t="shared" si="6"/>
        <v>35.524999999999999</v>
      </c>
      <c r="H32" s="154">
        <f t="shared" si="6"/>
        <v>32.6</v>
      </c>
      <c r="I32" s="154">
        <f t="shared" si="6"/>
        <v>35</v>
      </c>
      <c r="J32" s="154">
        <f t="shared" si="6"/>
        <v>34.200000000000003</v>
      </c>
    </row>
    <row r="33" spans="1:10" s="121" customFormat="1" ht="25.5" customHeight="1" x14ac:dyDescent="0.25">
      <c r="A33" s="155" t="s">
        <v>442</v>
      </c>
      <c r="B33" s="151" t="s">
        <v>90</v>
      </c>
      <c r="C33" s="156">
        <v>11</v>
      </c>
      <c r="D33" s="156">
        <v>11</v>
      </c>
      <c r="E33" s="156">
        <v>2</v>
      </c>
      <c r="F33" s="156">
        <v>2</v>
      </c>
      <c r="G33" s="156">
        <v>11</v>
      </c>
      <c r="H33" s="156">
        <v>8.3000000000000007</v>
      </c>
      <c r="I33" s="156">
        <v>10</v>
      </c>
      <c r="J33" s="156">
        <v>8</v>
      </c>
    </row>
    <row r="34" spans="1:10" s="121" customFormat="1" ht="25.5" customHeight="1" x14ac:dyDescent="0.25">
      <c r="A34" s="155" t="s">
        <v>443</v>
      </c>
      <c r="B34" s="151" t="s">
        <v>128</v>
      </c>
      <c r="C34" s="156">
        <v>1</v>
      </c>
      <c r="D34" s="156">
        <v>1</v>
      </c>
      <c r="E34" s="156">
        <v>0</v>
      </c>
      <c r="F34" s="156">
        <v>0</v>
      </c>
      <c r="G34" s="156">
        <v>1</v>
      </c>
      <c r="H34" s="156">
        <v>1</v>
      </c>
      <c r="I34" s="156">
        <v>1</v>
      </c>
      <c r="J34" s="156">
        <v>1</v>
      </c>
    </row>
    <row r="35" spans="1:10" s="121" customFormat="1" ht="25.5" customHeight="1" x14ac:dyDescent="0.25">
      <c r="A35" s="155" t="s">
        <v>444</v>
      </c>
      <c r="B35" s="151" t="s">
        <v>147</v>
      </c>
      <c r="C35" s="156">
        <v>4</v>
      </c>
      <c r="D35" s="156">
        <v>4</v>
      </c>
      <c r="E35" s="156">
        <v>0</v>
      </c>
      <c r="F35" s="156">
        <v>0</v>
      </c>
      <c r="G35" s="156">
        <v>3.5</v>
      </c>
      <c r="H35" s="156">
        <v>4</v>
      </c>
      <c r="I35" s="156">
        <v>3</v>
      </c>
      <c r="J35" s="156">
        <v>4.4000000000000004</v>
      </c>
    </row>
    <row r="36" spans="1:10" s="121" customFormat="1" ht="32.25" customHeight="1" x14ac:dyDescent="0.25">
      <c r="A36" s="155" t="s">
        <v>445</v>
      </c>
      <c r="B36" s="151" t="s">
        <v>148</v>
      </c>
      <c r="C36" s="156">
        <v>2</v>
      </c>
      <c r="D36" s="156">
        <v>2</v>
      </c>
      <c r="E36" s="156">
        <v>0</v>
      </c>
      <c r="F36" s="156">
        <v>0</v>
      </c>
      <c r="G36" s="156">
        <v>2</v>
      </c>
      <c r="H36" s="156">
        <v>1.6</v>
      </c>
      <c r="I36" s="156">
        <v>2</v>
      </c>
      <c r="J36" s="156">
        <v>2</v>
      </c>
    </row>
    <row r="37" spans="1:10" s="121" customFormat="1" ht="25.5" customHeight="1" x14ac:dyDescent="0.25">
      <c r="A37" s="155" t="s">
        <v>446</v>
      </c>
      <c r="B37" s="151" t="s">
        <v>131</v>
      </c>
      <c r="C37" s="156">
        <v>1</v>
      </c>
      <c r="D37" s="156">
        <v>1</v>
      </c>
      <c r="E37" s="156">
        <v>0</v>
      </c>
      <c r="F37" s="156">
        <v>0</v>
      </c>
      <c r="G37" s="156">
        <v>0.52500000000000002</v>
      </c>
      <c r="H37" s="156">
        <v>0.8</v>
      </c>
      <c r="I37" s="156">
        <v>1</v>
      </c>
      <c r="J37" s="156">
        <v>0.8</v>
      </c>
    </row>
    <row r="38" spans="1:10" s="121" customFormat="1" ht="35.25" customHeight="1" x14ac:dyDescent="0.25">
      <c r="A38" s="155" t="s">
        <v>447</v>
      </c>
      <c r="B38" s="151" t="s">
        <v>448</v>
      </c>
      <c r="C38" s="156">
        <v>2</v>
      </c>
      <c r="D38" s="156">
        <v>2</v>
      </c>
      <c r="E38" s="156">
        <v>0</v>
      </c>
      <c r="F38" s="156">
        <v>0</v>
      </c>
      <c r="G38" s="156">
        <v>1.5</v>
      </c>
      <c r="H38" s="156">
        <v>2</v>
      </c>
      <c r="I38" s="156">
        <v>2</v>
      </c>
      <c r="J38" s="156">
        <v>2</v>
      </c>
    </row>
    <row r="39" spans="1:10" s="121" customFormat="1" ht="25.5" customHeight="1" x14ac:dyDescent="0.25">
      <c r="A39" s="155" t="s">
        <v>449</v>
      </c>
      <c r="B39" s="151" t="s">
        <v>450</v>
      </c>
      <c r="C39" s="156">
        <v>2</v>
      </c>
      <c r="D39" s="156">
        <v>2</v>
      </c>
      <c r="E39" s="156">
        <v>0</v>
      </c>
      <c r="F39" s="156">
        <v>0</v>
      </c>
      <c r="G39" s="156">
        <v>2</v>
      </c>
      <c r="H39" s="156">
        <v>2</v>
      </c>
      <c r="I39" s="156">
        <v>2</v>
      </c>
      <c r="J39" s="156">
        <v>2</v>
      </c>
    </row>
    <row r="40" spans="1:10" s="121" customFormat="1" ht="33.75" customHeight="1" x14ac:dyDescent="0.25">
      <c r="A40" s="155" t="s">
        <v>451</v>
      </c>
      <c r="B40" s="151" t="s">
        <v>149</v>
      </c>
      <c r="C40" s="156">
        <v>10</v>
      </c>
      <c r="D40" s="156">
        <v>10</v>
      </c>
      <c r="E40" s="156">
        <v>0</v>
      </c>
      <c r="F40" s="156">
        <v>0</v>
      </c>
      <c r="G40" s="156">
        <v>10</v>
      </c>
      <c r="H40" s="156">
        <v>9.1999999999999993</v>
      </c>
      <c r="I40" s="156">
        <v>10</v>
      </c>
      <c r="J40" s="156">
        <v>10</v>
      </c>
    </row>
    <row r="41" spans="1:10" s="121" customFormat="1" ht="25.5" customHeight="1" x14ac:dyDescent="0.25">
      <c r="A41" s="155" t="s">
        <v>452</v>
      </c>
      <c r="B41" s="151" t="s">
        <v>65</v>
      </c>
      <c r="C41" s="156">
        <v>3</v>
      </c>
      <c r="D41" s="156">
        <v>3</v>
      </c>
      <c r="E41" s="156"/>
      <c r="F41" s="156">
        <v>0</v>
      </c>
      <c r="G41" s="156">
        <v>3</v>
      </c>
      <c r="H41" s="156">
        <v>2.7</v>
      </c>
      <c r="I41" s="156">
        <v>3</v>
      </c>
      <c r="J41" s="156">
        <v>3</v>
      </c>
    </row>
    <row r="42" spans="1:10" s="121" customFormat="1" ht="25.5" customHeight="1" x14ac:dyDescent="0.25">
      <c r="A42" s="155" t="s">
        <v>509</v>
      </c>
      <c r="B42" s="151" t="s">
        <v>150</v>
      </c>
      <c r="C42" s="156">
        <v>1</v>
      </c>
      <c r="D42" s="156">
        <v>1</v>
      </c>
      <c r="E42" s="156">
        <v>0</v>
      </c>
      <c r="F42" s="156">
        <v>0</v>
      </c>
      <c r="G42" s="156">
        <v>1</v>
      </c>
      <c r="H42" s="156">
        <v>1</v>
      </c>
      <c r="I42" s="156">
        <v>1</v>
      </c>
      <c r="J42" s="156">
        <v>1</v>
      </c>
    </row>
    <row r="43" spans="1:10" s="122" customFormat="1" ht="32.25" customHeight="1" x14ac:dyDescent="0.25">
      <c r="A43" s="152" t="s">
        <v>579</v>
      </c>
      <c r="B43" s="159"/>
      <c r="C43" s="154">
        <f t="shared" ref="C43:J43" si="7">C44</f>
        <v>7</v>
      </c>
      <c r="D43" s="154">
        <f t="shared" si="7"/>
        <v>7</v>
      </c>
      <c r="E43" s="154">
        <f t="shared" si="7"/>
        <v>0</v>
      </c>
      <c r="F43" s="154">
        <f t="shared" si="7"/>
        <v>0</v>
      </c>
      <c r="G43" s="154">
        <f t="shared" si="7"/>
        <v>7</v>
      </c>
      <c r="H43" s="154">
        <f t="shared" si="7"/>
        <v>6.2</v>
      </c>
      <c r="I43" s="154">
        <f t="shared" si="7"/>
        <v>7</v>
      </c>
      <c r="J43" s="154">
        <f t="shared" si="7"/>
        <v>6.3</v>
      </c>
    </row>
    <row r="44" spans="1:10" s="121" customFormat="1" ht="25.5" customHeight="1" x14ac:dyDescent="0.25">
      <c r="A44" s="155" t="s">
        <v>453</v>
      </c>
      <c r="B44" s="151" t="s">
        <v>147</v>
      </c>
      <c r="C44" s="156">
        <v>7</v>
      </c>
      <c r="D44" s="156">
        <v>7</v>
      </c>
      <c r="E44" s="156">
        <v>0</v>
      </c>
      <c r="F44" s="156">
        <v>0</v>
      </c>
      <c r="G44" s="156">
        <v>7</v>
      </c>
      <c r="H44" s="156">
        <v>6.2</v>
      </c>
      <c r="I44" s="156">
        <v>7</v>
      </c>
      <c r="J44" s="156">
        <v>6.3</v>
      </c>
    </row>
    <row r="45" spans="1:10" s="121" customFormat="1" ht="25.5" customHeight="1" x14ac:dyDescent="0.25">
      <c r="A45" s="152" t="s">
        <v>566</v>
      </c>
      <c r="B45" s="159"/>
      <c r="C45" s="154">
        <f t="shared" ref="C45:J45" si="8">SUM(C46:C47)</f>
        <v>11</v>
      </c>
      <c r="D45" s="154">
        <f t="shared" si="8"/>
        <v>11</v>
      </c>
      <c r="E45" s="154">
        <f t="shared" si="8"/>
        <v>1</v>
      </c>
      <c r="F45" s="154">
        <f t="shared" si="8"/>
        <v>0</v>
      </c>
      <c r="G45" s="154">
        <f t="shared" si="8"/>
        <v>11</v>
      </c>
      <c r="H45" s="154">
        <f t="shared" si="8"/>
        <v>9.6</v>
      </c>
      <c r="I45" s="154">
        <f t="shared" si="8"/>
        <v>10</v>
      </c>
      <c r="J45" s="154">
        <f t="shared" si="8"/>
        <v>10.4</v>
      </c>
    </row>
    <row r="46" spans="1:10" s="121" customFormat="1" ht="25.5" customHeight="1" x14ac:dyDescent="0.25">
      <c r="A46" s="155" t="s">
        <v>581</v>
      </c>
      <c r="B46" s="151" t="s">
        <v>90</v>
      </c>
      <c r="C46" s="156">
        <v>1</v>
      </c>
      <c r="D46" s="156">
        <v>4</v>
      </c>
      <c r="E46" s="156">
        <v>0</v>
      </c>
      <c r="F46" s="156">
        <v>0</v>
      </c>
      <c r="G46" s="156">
        <v>1</v>
      </c>
      <c r="H46" s="156">
        <v>1</v>
      </c>
      <c r="I46" s="156">
        <v>1</v>
      </c>
      <c r="J46" s="156">
        <v>3.6</v>
      </c>
    </row>
    <row r="47" spans="1:10" s="121" customFormat="1" ht="25.5" customHeight="1" x14ac:dyDescent="0.25">
      <c r="A47" s="155" t="s">
        <v>454</v>
      </c>
      <c r="B47" s="151" t="s">
        <v>128</v>
      </c>
      <c r="C47" s="156">
        <v>10</v>
      </c>
      <c r="D47" s="156">
        <v>7</v>
      </c>
      <c r="E47" s="156">
        <v>1</v>
      </c>
      <c r="F47" s="156">
        <v>0</v>
      </c>
      <c r="G47" s="156">
        <v>10</v>
      </c>
      <c r="H47" s="156">
        <v>8.6</v>
      </c>
      <c r="I47" s="156">
        <v>9</v>
      </c>
      <c r="J47" s="156">
        <v>6.8</v>
      </c>
    </row>
    <row r="48" spans="1:10" s="121" customFormat="1" ht="25.5" customHeight="1" x14ac:dyDescent="0.25">
      <c r="A48" s="155" t="s">
        <v>582</v>
      </c>
      <c r="B48" s="151" t="s">
        <v>147</v>
      </c>
      <c r="C48" s="156">
        <v>0</v>
      </c>
      <c r="D48" s="156">
        <v>0</v>
      </c>
      <c r="E48" s="156">
        <v>0</v>
      </c>
      <c r="F48" s="156">
        <v>0</v>
      </c>
      <c r="G48" s="156">
        <v>0</v>
      </c>
      <c r="H48" s="156">
        <v>0</v>
      </c>
      <c r="I48" s="156">
        <v>0</v>
      </c>
      <c r="J48" s="156">
        <v>0</v>
      </c>
    </row>
    <row r="49" spans="1:10" s="122" customFormat="1" ht="31.5" customHeight="1" x14ac:dyDescent="0.25">
      <c r="A49" s="152" t="s">
        <v>455</v>
      </c>
      <c r="B49" s="159"/>
      <c r="C49" s="154">
        <f t="shared" ref="C49:J49" si="9">SUM(C50:C50)</f>
        <v>10</v>
      </c>
      <c r="D49" s="154">
        <f t="shared" si="9"/>
        <v>10</v>
      </c>
      <c r="E49" s="154">
        <f t="shared" si="9"/>
        <v>2</v>
      </c>
      <c r="F49" s="154">
        <f t="shared" si="9"/>
        <v>1</v>
      </c>
      <c r="G49" s="154">
        <f t="shared" si="9"/>
        <v>10</v>
      </c>
      <c r="H49" s="154">
        <f t="shared" si="9"/>
        <v>7.3</v>
      </c>
      <c r="I49" s="154">
        <f t="shared" si="9"/>
        <v>8</v>
      </c>
      <c r="J49" s="154">
        <f t="shared" si="9"/>
        <v>7.8</v>
      </c>
    </row>
    <row r="50" spans="1:10" s="121" customFormat="1" ht="32.25" customHeight="1" x14ac:dyDescent="0.25">
      <c r="A50" s="155" t="s">
        <v>580</v>
      </c>
      <c r="B50" s="151" t="s">
        <v>90</v>
      </c>
      <c r="C50" s="156">
        <v>10</v>
      </c>
      <c r="D50" s="156">
        <v>10</v>
      </c>
      <c r="E50" s="156">
        <v>2</v>
      </c>
      <c r="F50" s="156">
        <v>1</v>
      </c>
      <c r="G50" s="156">
        <v>10</v>
      </c>
      <c r="H50" s="156">
        <v>7.3</v>
      </c>
      <c r="I50" s="156">
        <v>8</v>
      </c>
      <c r="J50" s="156">
        <v>7.8</v>
      </c>
    </row>
    <row r="51" spans="1:10" s="115" customFormat="1" ht="29.25" customHeight="1" x14ac:dyDescent="0.25">
      <c r="A51" s="1316" t="s">
        <v>456</v>
      </c>
      <c r="B51" s="1316"/>
      <c r="C51" s="160">
        <f t="shared" ref="C51:J51" si="10">+C3+C14+C23+C19+C29+C32+C43+C49+C45+C26</f>
        <v>383</v>
      </c>
      <c r="D51" s="160">
        <f t="shared" si="10"/>
        <v>383</v>
      </c>
      <c r="E51" s="160">
        <f t="shared" si="10"/>
        <v>15</v>
      </c>
      <c r="F51" s="160">
        <f t="shared" si="10"/>
        <v>18</v>
      </c>
      <c r="G51" s="160">
        <f>+G3+G14+G23+G19+G29+G32+G43+G49+G45+G26</f>
        <v>380.42499999999995</v>
      </c>
      <c r="H51" s="160">
        <f>+H3+H14+H23+H19+H29+H32+H43+H49+H45+H26</f>
        <v>351.30000000000007</v>
      </c>
      <c r="I51" s="160">
        <f t="shared" si="10"/>
        <v>378</v>
      </c>
      <c r="J51" s="160">
        <f t="shared" si="10"/>
        <v>353.90000000000003</v>
      </c>
    </row>
  </sheetData>
  <mergeCells count="2">
    <mergeCell ref="A1:I1"/>
    <mergeCell ref="A51:B51"/>
  </mergeCells>
  <printOptions horizontalCentered="1" verticalCentered="1"/>
  <pageMargins left="0.31496062992125984" right="0.31496062992125984" top="0.35433070866141736" bottom="0.35433070866141736" header="0.31496062992125984" footer="0.31496062992125984"/>
  <pageSetup paperSize="9" scale="51" orientation="portrait" r:id="rId1"/>
  <headerFooter>
    <oddHeader>&amp;C2022. évi zárszámadás&amp;R&amp;A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AT51"/>
  <sheetViews>
    <sheetView view="pageBreakPreview" zoomScale="70" zoomScaleNormal="80" zoomScaleSheetLayoutView="70" workbookViewId="0">
      <pane xSplit="3" ySplit="8" topLeftCell="O36" activePane="bottomRight" state="frozen"/>
      <selection activeCell="Y17" sqref="Y17"/>
      <selection pane="topRight" activeCell="Y17" sqref="Y17"/>
      <selection pane="bottomLeft" activeCell="Y17" sqref="Y17"/>
      <selection pane="bottomRight" activeCell="AE50" sqref="AE50"/>
    </sheetView>
  </sheetViews>
  <sheetFormatPr defaultColWidth="9.140625" defaultRowHeight="12.75" x14ac:dyDescent="0.2"/>
  <cols>
    <col min="1" max="1" width="5.85546875" style="19" customWidth="1"/>
    <col min="2" max="2" width="64.85546875" style="19" customWidth="1"/>
    <col min="3" max="3" width="7.140625" style="127" customWidth="1"/>
    <col min="4" max="5" width="18.28515625" style="20" customWidth="1"/>
    <col min="6" max="6" width="17" style="20" customWidth="1"/>
    <col min="7" max="7" width="18" style="20" customWidth="1"/>
    <col min="8" max="8" width="20.42578125" style="20" customWidth="1"/>
    <col min="9" max="9" width="20" style="20" customWidth="1"/>
    <col min="10" max="12" width="17.28515625" style="20" customWidth="1"/>
    <col min="13" max="15" width="17.42578125" style="20" customWidth="1"/>
    <col min="16" max="16" width="17.85546875" style="20" customWidth="1"/>
    <col min="17" max="18" width="18.7109375" style="20" customWidth="1"/>
    <col min="19" max="19" width="17.140625" style="20" customWidth="1"/>
    <col min="20" max="20" width="19.42578125" style="20" customWidth="1"/>
    <col min="21" max="21" width="17.42578125" style="20" customWidth="1"/>
    <col min="22" max="24" width="18" style="20" customWidth="1"/>
    <col min="25" max="25" width="18.5703125" style="20" customWidth="1"/>
    <col min="26" max="27" width="17.7109375" style="20" customWidth="1"/>
    <col min="28" max="30" width="16.42578125" style="20" customWidth="1"/>
    <col min="31" max="31" width="18.5703125" style="20" customWidth="1"/>
    <col min="32" max="32" width="19.42578125" style="20" customWidth="1"/>
    <col min="33" max="33" width="18.42578125" style="20" customWidth="1"/>
    <col min="34" max="36" width="17.42578125" style="20" customWidth="1"/>
    <col min="37" max="37" width="17.140625" style="20" customWidth="1"/>
    <col min="38" max="38" width="20.42578125" style="20" customWidth="1"/>
    <col min="39" max="39" width="19.5703125" style="20" customWidth="1"/>
    <col min="40" max="40" width="17.42578125" style="20" customWidth="1"/>
    <col min="41" max="41" width="20.85546875" style="19" customWidth="1"/>
    <col min="42" max="42" width="21.7109375" style="19" customWidth="1"/>
    <col min="43" max="43" width="18.5703125" style="19" customWidth="1"/>
    <col min="44" max="44" width="10.5703125" style="19" bestFit="1" customWidth="1"/>
    <col min="45" max="45" width="14.5703125" style="19" bestFit="1" customWidth="1"/>
    <col min="46" max="16384" width="9.140625" style="19"/>
  </cols>
  <sheetData>
    <row r="1" spans="1:46" ht="15.75" customHeight="1" x14ac:dyDescent="0.25">
      <c r="A1" s="163"/>
      <c r="B1" s="163"/>
      <c r="C1" s="164"/>
      <c r="D1" s="165"/>
      <c r="E1" s="165"/>
      <c r="F1" s="165"/>
      <c r="G1" s="165"/>
      <c r="I1" s="166" t="s">
        <v>415</v>
      </c>
      <c r="J1" s="19"/>
      <c r="K1" s="165"/>
      <c r="L1" s="165"/>
      <c r="M1" s="19"/>
      <c r="O1" s="166" t="s">
        <v>415</v>
      </c>
      <c r="P1" s="166"/>
      <c r="Q1" s="166"/>
      <c r="R1" s="166"/>
      <c r="S1" s="166"/>
      <c r="U1" s="166" t="s">
        <v>415</v>
      </c>
      <c r="V1" s="166"/>
      <c r="W1" s="166"/>
      <c r="X1" s="166"/>
      <c r="Y1" s="19"/>
      <c r="AA1" s="166" t="s">
        <v>415</v>
      </c>
      <c r="AB1" s="166"/>
      <c r="AC1" s="166"/>
      <c r="AD1" s="166"/>
      <c r="AE1" s="166"/>
      <c r="AG1" s="166" t="s">
        <v>415</v>
      </c>
      <c r="AH1" s="166"/>
      <c r="AI1" s="166"/>
      <c r="AJ1" s="166"/>
      <c r="AK1" s="19"/>
      <c r="AM1" s="166" t="s">
        <v>415</v>
      </c>
      <c r="AN1" s="19"/>
      <c r="AP1" s="166" t="s">
        <v>415</v>
      </c>
    </row>
    <row r="2" spans="1:46" ht="30.75" customHeight="1" x14ac:dyDescent="0.2">
      <c r="A2" s="1028" t="s">
        <v>133</v>
      </c>
      <c r="B2" s="1029"/>
      <c r="C2" s="1030"/>
      <c r="D2" s="1036" t="s">
        <v>1943</v>
      </c>
      <c r="E2" s="1037"/>
      <c r="F2" s="1037"/>
      <c r="G2" s="1037"/>
      <c r="H2" s="1037"/>
      <c r="I2" s="1038"/>
      <c r="J2" s="1036" t="s">
        <v>1943</v>
      </c>
      <c r="K2" s="1037"/>
      <c r="L2" s="1037"/>
      <c r="M2" s="1037"/>
      <c r="N2" s="1037"/>
      <c r="O2" s="1038"/>
      <c r="P2" s="1036" t="s">
        <v>1943</v>
      </c>
      <c r="Q2" s="1037"/>
      <c r="R2" s="1037"/>
      <c r="S2" s="1037"/>
      <c r="T2" s="1037"/>
      <c r="U2" s="1038"/>
      <c r="V2" s="1036" t="s">
        <v>1943</v>
      </c>
      <c r="W2" s="1037"/>
      <c r="X2" s="1037"/>
      <c r="Y2" s="1037"/>
      <c r="Z2" s="1037"/>
      <c r="AA2" s="1038"/>
      <c r="AB2" s="1036" t="s">
        <v>1943</v>
      </c>
      <c r="AC2" s="1037"/>
      <c r="AD2" s="1037"/>
      <c r="AE2" s="1037"/>
      <c r="AF2" s="1037"/>
      <c r="AG2" s="1038"/>
      <c r="AH2" s="1036" t="s">
        <v>1943</v>
      </c>
      <c r="AI2" s="1037"/>
      <c r="AJ2" s="1037"/>
      <c r="AK2" s="1037"/>
      <c r="AL2" s="1037"/>
      <c r="AM2" s="1038"/>
      <c r="AN2" s="1036" t="s">
        <v>1943</v>
      </c>
      <c r="AO2" s="1037"/>
      <c r="AP2" s="1038"/>
    </row>
    <row r="3" spans="1:46" ht="41.25" customHeight="1" x14ac:dyDescent="0.2">
      <c r="A3" s="1031"/>
      <c r="B3" s="1032"/>
      <c r="C3" s="1033"/>
      <c r="D3" s="644" t="s">
        <v>274</v>
      </c>
      <c r="E3" s="644" t="s">
        <v>1074</v>
      </c>
      <c r="F3" s="644" t="s">
        <v>1546</v>
      </c>
      <c r="G3" s="644" t="s">
        <v>274</v>
      </c>
      <c r="H3" s="644" t="s">
        <v>1074</v>
      </c>
      <c r="I3" s="644" t="s">
        <v>1546</v>
      </c>
      <c r="J3" s="644" t="s">
        <v>274</v>
      </c>
      <c r="K3" s="644" t="s">
        <v>1074</v>
      </c>
      <c r="L3" s="644" t="s">
        <v>1546</v>
      </c>
      <c r="M3" s="644" t="s">
        <v>274</v>
      </c>
      <c r="N3" s="644" t="s">
        <v>1074</v>
      </c>
      <c r="O3" s="644" t="s">
        <v>1546</v>
      </c>
      <c r="P3" s="644" t="s">
        <v>274</v>
      </c>
      <c r="Q3" s="644" t="s">
        <v>1074</v>
      </c>
      <c r="R3" s="644" t="s">
        <v>1546</v>
      </c>
      <c r="S3" s="644" t="s">
        <v>274</v>
      </c>
      <c r="T3" s="644" t="s">
        <v>1074</v>
      </c>
      <c r="U3" s="644" t="s">
        <v>1546</v>
      </c>
      <c r="V3" s="644" t="s">
        <v>274</v>
      </c>
      <c r="W3" s="644" t="s">
        <v>1074</v>
      </c>
      <c r="X3" s="644" t="s">
        <v>1546</v>
      </c>
      <c r="Y3" s="644" t="s">
        <v>274</v>
      </c>
      <c r="Z3" s="644" t="s">
        <v>1074</v>
      </c>
      <c r="AA3" s="644" t="s">
        <v>1546</v>
      </c>
      <c r="AB3" s="644" t="s">
        <v>274</v>
      </c>
      <c r="AC3" s="644" t="s">
        <v>1074</v>
      </c>
      <c r="AD3" s="644" t="s">
        <v>1546</v>
      </c>
      <c r="AE3" s="644" t="s">
        <v>274</v>
      </c>
      <c r="AF3" s="644" t="s">
        <v>1074</v>
      </c>
      <c r="AG3" s="644" t="s">
        <v>1546</v>
      </c>
      <c r="AH3" s="644" t="s">
        <v>274</v>
      </c>
      <c r="AI3" s="644" t="s">
        <v>1074</v>
      </c>
      <c r="AJ3" s="644" t="s">
        <v>1546</v>
      </c>
      <c r="AK3" s="644" t="s">
        <v>274</v>
      </c>
      <c r="AL3" s="644" t="s">
        <v>1074</v>
      </c>
      <c r="AM3" s="644" t="s">
        <v>1546</v>
      </c>
      <c r="AN3" s="644" t="s">
        <v>274</v>
      </c>
      <c r="AO3" s="644" t="s">
        <v>1074</v>
      </c>
      <c r="AP3" s="644" t="s">
        <v>1546</v>
      </c>
    </row>
    <row r="4" spans="1:46" ht="123" customHeight="1" x14ac:dyDescent="0.2">
      <c r="A4" s="1034" t="s">
        <v>189</v>
      </c>
      <c r="B4" s="1035" t="s">
        <v>247</v>
      </c>
      <c r="C4" s="1035"/>
      <c r="D4" s="1039" t="s">
        <v>1740</v>
      </c>
      <c r="E4" s="1040"/>
      <c r="F4" s="1041"/>
      <c r="G4" s="1039" t="s">
        <v>1944</v>
      </c>
      <c r="H4" s="1040" t="s">
        <v>334</v>
      </c>
      <c r="I4" s="1041"/>
      <c r="J4" s="1039" t="s">
        <v>1945</v>
      </c>
      <c r="K4" s="1040" t="s">
        <v>335</v>
      </c>
      <c r="L4" s="1041"/>
      <c r="M4" s="1039" t="s">
        <v>134</v>
      </c>
      <c r="N4" s="1040" t="s">
        <v>134</v>
      </c>
      <c r="O4" s="1041"/>
      <c r="P4" s="1039" t="s">
        <v>1946</v>
      </c>
      <c r="Q4" s="1040" t="s">
        <v>588</v>
      </c>
      <c r="R4" s="1041"/>
      <c r="S4" s="1039" t="s">
        <v>1947</v>
      </c>
      <c r="T4" s="1040" t="s">
        <v>588</v>
      </c>
      <c r="U4" s="1041"/>
      <c r="V4" s="1039" t="s">
        <v>1948</v>
      </c>
      <c r="W4" s="1040" t="s">
        <v>466</v>
      </c>
      <c r="X4" s="1041"/>
      <c r="Y4" s="1039" t="s">
        <v>181</v>
      </c>
      <c r="Z4" s="1040" t="s">
        <v>181</v>
      </c>
      <c r="AA4" s="1041"/>
      <c r="AB4" s="1039" t="s">
        <v>1949</v>
      </c>
      <c r="AC4" s="1040" t="s">
        <v>806</v>
      </c>
      <c r="AD4" s="1041"/>
      <c r="AE4" s="1039" t="s">
        <v>1947</v>
      </c>
      <c r="AF4" s="1040" t="s">
        <v>588</v>
      </c>
      <c r="AG4" s="1041"/>
      <c r="AH4" s="1039" t="s">
        <v>1950</v>
      </c>
      <c r="AI4" s="1040" t="s">
        <v>963</v>
      </c>
      <c r="AJ4" s="1041"/>
      <c r="AK4" s="1039" t="s">
        <v>1951</v>
      </c>
      <c r="AL4" s="1040" t="s">
        <v>334</v>
      </c>
      <c r="AM4" s="1041"/>
      <c r="AN4" s="1042" t="s">
        <v>135</v>
      </c>
      <c r="AO4" s="1043"/>
      <c r="AP4" s="1044"/>
    </row>
    <row r="5" spans="1:46" ht="30.75" customHeight="1" x14ac:dyDescent="0.2">
      <c r="A5" s="1034"/>
      <c r="B5" s="1035" t="s">
        <v>11</v>
      </c>
      <c r="C5" s="1035"/>
      <c r="D5" s="1039" t="s">
        <v>225</v>
      </c>
      <c r="E5" s="1040"/>
      <c r="F5" s="1041"/>
      <c r="G5" s="1039" t="s">
        <v>225</v>
      </c>
      <c r="H5" s="1040" t="s">
        <v>225</v>
      </c>
      <c r="I5" s="1041"/>
      <c r="J5" s="1039" t="s">
        <v>227</v>
      </c>
      <c r="K5" s="1040" t="s">
        <v>227</v>
      </c>
      <c r="L5" s="1041"/>
      <c r="M5" s="1039" t="s">
        <v>227</v>
      </c>
      <c r="N5" s="1040" t="s">
        <v>227</v>
      </c>
      <c r="O5" s="1041"/>
      <c r="P5" s="1039" t="s">
        <v>227</v>
      </c>
      <c r="Q5" s="1040" t="s">
        <v>227</v>
      </c>
      <c r="R5" s="1041"/>
      <c r="S5" s="1039" t="s">
        <v>227</v>
      </c>
      <c r="T5" s="1040" t="s">
        <v>227</v>
      </c>
      <c r="U5" s="1041"/>
      <c r="V5" s="1039" t="s">
        <v>225</v>
      </c>
      <c r="W5" s="1040" t="s">
        <v>225</v>
      </c>
      <c r="X5" s="1041"/>
      <c r="Y5" s="1039" t="s">
        <v>227</v>
      </c>
      <c r="Z5" s="1040" t="s">
        <v>227</v>
      </c>
      <c r="AA5" s="1041"/>
      <c r="AB5" s="1039" t="s">
        <v>227</v>
      </c>
      <c r="AC5" s="1040" t="s">
        <v>227</v>
      </c>
      <c r="AD5" s="1041"/>
      <c r="AE5" s="1039" t="s">
        <v>227</v>
      </c>
      <c r="AF5" s="1040" t="s">
        <v>227</v>
      </c>
      <c r="AG5" s="1041"/>
      <c r="AH5" s="1039" t="s">
        <v>227</v>
      </c>
      <c r="AI5" s="1040" t="s">
        <v>227</v>
      </c>
      <c r="AJ5" s="1041"/>
      <c r="AK5" s="1039" t="s">
        <v>225</v>
      </c>
      <c r="AL5" s="1040" t="s">
        <v>225</v>
      </c>
      <c r="AM5" s="1041"/>
      <c r="AN5" s="1045"/>
      <c r="AO5" s="1046"/>
      <c r="AP5" s="1047"/>
    </row>
    <row r="6" spans="1:46" ht="15.75" customHeight="1" x14ac:dyDescent="0.2">
      <c r="A6" s="1034"/>
      <c r="B6" s="992" t="s">
        <v>646</v>
      </c>
      <c r="C6" s="992"/>
      <c r="D6" s="1051" t="s">
        <v>1952</v>
      </c>
      <c r="E6" s="1052"/>
      <c r="F6" s="1053"/>
      <c r="G6" s="1051" t="s">
        <v>1953</v>
      </c>
      <c r="H6" s="1052" t="s">
        <v>1141</v>
      </c>
      <c r="I6" s="1053"/>
      <c r="J6" s="1051" t="s">
        <v>1954</v>
      </c>
      <c r="K6" s="1052" t="s">
        <v>392</v>
      </c>
      <c r="L6" s="1053"/>
      <c r="M6" s="1051" t="s">
        <v>1955</v>
      </c>
      <c r="N6" s="1052" t="s">
        <v>1142</v>
      </c>
      <c r="O6" s="1053"/>
      <c r="P6" s="1051" t="s">
        <v>1956</v>
      </c>
      <c r="Q6" s="1052" t="s">
        <v>1143</v>
      </c>
      <c r="R6" s="1053"/>
      <c r="S6" s="1051" t="s">
        <v>1957</v>
      </c>
      <c r="T6" s="1052" t="s">
        <v>1144</v>
      </c>
      <c r="U6" s="1053"/>
      <c r="V6" s="1051" t="s">
        <v>1958</v>
      </c>
      <c r="W6" s="1052" t="s">
        <v>1145</v>
      </c>
      <c r="X6" s="1053"/>
      <c r="Y6" s="1051" t="s">
        <v>1959</v>
      </c>
      <c r="Z6" s="1052" t="s">
        <v>1146</v>
      </c>
      <c r="AA6" s="1053"/>
      <c r="AB6" s="1051" t="s">
        <v>807</v>
      </c>
      <c r="AC6" s="1052" t="s">
        <v>807</v>
      </c>
      <c r="AD6" s="1053"/>
      <c r="AE6" s="1051" t="s">
        <v>1960</v>
      </c>
      <c r="AF6" s="1052" t="s">
        <v>1148</v>
      </c>
      <c r="AG6" s="1053"/>
      <c r="AH6" s="1051" t="s">
        <v>1961</v>
      </c>
      <c r="AI6" s="1052" t="s">
        <v>1147</v>
      </c>
      <c r="AJ6" s="1053"/>
      <c r="AK6" s="1051" t="s">
        <v>173</v>
      </c>
      <c r="AL6" s="1052" t="s">
        <v>475</v>
      </c>
      <c r="AM6" s="1053"/>
      <c r="AN6" s="1045"/>
      <c r="AO6" s="1046"/>
      <c r="AP6" s="1047"/>
    </row>
    <row r="7" spans="1:46" ht="62.25" customHeight="1" x14ac:dyDescent="0.2">
      <c r="A7" s="1034"/>
      <c r="B7" s="684" t="s">
        <v>190</v>
      </c>
      <c r="C7" s="126" t="s">
        <v>248</v>
      </c>
      <c r="D7" s="1054"/>
      <c r="E7" s="1055"/>
      <c r="F7" s="1056"/>
      <c r="G7" s="1054"/>
      <c r="H7" s="1055"/>
      <c r="I7" s="1056"/>
      <c r="J7" s="1054"/>
      <c r="K7" s="1055"/>
      <c r="L7" s="1056"/>
      <c r="M7" s="1054"/>
      <c r="N7" s="1055"/>
      <c r="O7" s="1056"/>
      <c r="P7" s="1054"/>
      <c r="Q7" s="1055"/>
      <c r="R7" s="1056"/>
      <c r="S7" s="1054"/>
      <c r="T7" s="1055"/>
      <c r="U7" s="1056"/>
      <c r="V7" s="1054"/>
      <c r="W7" s="1055"/>
      <c r="X7" s="1056"/>
      <c r="Y7" s="1054"/>
      <c r="Z7" s="1055"/>
      <c r="AA7" s="1056"/>
      <c r="AB7" s="1054"/>
      <c r="AC7" s="1055"/>
      <c r="AD7" s="1056"/>
      <c r="AE7" s="1054"/>
      <c r="AF7" s="1055"/>
      <c r="AG7" s="1056"/>
      <c r="AH7" s="1054"/>
      <c r="AI7" s="1055"/>
      <c r="AJ7" s="1056"/>
      <c r="AK7" s="1054"/>
      <c r="AL7" s="1055"/>
      <c r="AM7" s="1056"/>
      <c r="AN7" s="1048"/>
      <c r="AO7" s="1049"/>
      <c r="AP7" s="1050"/>
    </row>
    <row r="8" spans="1:46" ht="15.75" x14ac:dyDescent="0.2">
      <c r="A8" s="23" t="s">
        <v>191</v>
      </c>
      <c r="B8" s="24" t="s">
        <v>192</v>
      </c>
      <c r="C8" s="24" t="s">
        <v>193</v>
      </c>
      <c r="D8" s="301" t="s">
        <v>194</v>
      </c>
      <c r="E8" s="24" t="s">
        <v>195</v>
      </c>
      <c r="F8" s="301" t="s">
        <v>196</v>
      </c>
      <c r="G8" s="24" t="s">
        <v>197</v>
      </c>
      <c r="H8" s="301" t="s">
        <v>198</v>
      </c>
      <c r="I8" s="24" t="s">
        <v>199</v>
      </c>
      <c r="J8" s="301" t="s">
        <v>200</v>
      </c>
      <c r="K8" s="24" t="s">
        <v>201</v>
      </c>
      <c r="L8" s="301" t="s">
        <v>228</v>
      </c>
      <c r="M8" s="24" t="s">
        <v>229</v>
      </c>
      <c r="N8" s="301" t="s">
        <v>230</v>
      </c>
      <c r="O8" s="24" t="s">
        <v>231</v>
      </c>
      <c r="P8" s="301" t="s">
        <v>232</v>
      </c>
      <c r="Q8" s="24" t="s">
        <v>233</v>
      </c>
      <c r="R8" s="301" t="s">
        <v>234</v>
      </c>
      <c r="S8" s="24" t="s">
        <v>235</v>
      </c>
      <c r="T8" s="301" t="s">
        <v>236</v>
      </c>
      <c r="U8" s="24" t="s">
        <v>261</v>
      </c>
      <c r="V8" s="301" t="s">
        <v>262</v>
      </c>
      <c r="W8" s="24" t="s">
        <v>263</v>
      </c>
      <c r="X8" s="301" t="s">
        <v>264</v>
      </c>
      <c r="Y8" s="24" t="s">
        <v>265</v>
      </c>
      <c r="Z8" s="301" t="s">
        <v>266</v>
      </c>
      <c r="AA8" s="24" t="s">
        <v>267</v>
      </c>
      <c r="AB8" s="301" t="s">
        <v>268</v>
      </c>
      <c r="AC8" s="24" t="s">
        <v>269</v>
      </c>
      <c r="AD8" s="301" t="s">
        <v>270</v>
      </c>
      <c r="AE8" s="24" t="s">
        <v>271</v>
      </c>
      <c r="AF8" s="301" t="s">
        <v>272</v>
      </c>
      <c r="AG8" s="24" t="s">
        <v>273</v>
      </c>
      <c r="AH8" s="301" t="s">
        <v>277</v>
      </c>
      <c r="AI8" s="24" t="s">
        <v>278</v>
      </c>
      <c r="AJ8" s="301" t="s">
        <v>279</v>
      </c>
      <c r="AK8" s="24" t="s">
        <v>280</v>
      </c>
      <c r="AL8" s="301" t="s">
        <v>281</v>
      </c>
      <c r="AM8" s="24" t="s">
        <v>282</v>
      </c>
      <c r="AN8" s="301" t="s">
        <v>283</v>
      </c>
      <c r="AO8" s="24" t="s">
        <v>284</v>
      </c>
      <c r="AP8" s="301" t="s">
        <v>285</v>
      </c>
      <c r="AQ8" s="118" t="s">
        <v>2061</v>
      </c>
      <c r="AS8" s="118" t="s">
        <v>2062</v>
      </c>
    </row>
    <row r="9" spans="1:46" ht="21.75" customHeight="1" x14ac:dyDescent="0.25">
      <c r="A9" s="25" t="s">
        <v>191</v>
      </c>
      <c r="B9" s="22" t="s">
        <v>330</v>
      </c>
      <c r="C9" s="128" t="s">
        <v>202</v>
      </c>
      <c r="D9" s="167"/>
      <c r="E9" s="167"/>
      <c r="F9" s="167"/>
      <c r="G9" s="167">
        <f>+(434188498)+132926</f>
        <v>434321424</v>
      </c>
      <c r="H9" s="167">
        <v>461384249</v>
      </c>
      <c r="I9" s="167">
        <v>430734858</v>
      </c>
      <c r="J9" s="167">
        <v>61655679</v>
      </c>
      <c r="K9" s="167">
        <v>65255679</v>
      </c>
      <c r="L9" s="167">
        <v>57936295</v>
      </c>
      <c r="M9" s="167">
        <v>17641840</v>
      </c>
      <c r="N9" s="167">
        <v>20284023</v>
      </c>
      <c r="O9" s="167">
        <v>20207182</v>
      </c>
      <c r="P9" s="167"/>
      <c r="Q9" s="167"/>
      <c r="R9" s="167"/>
      <c r="S9" s="167"/>
      <c r="T9" s="167"/>
      <c r="U9" s="167"/>
      <c r="V9" s="167">
        <v>97090837</v>
      </c>
      <c r="W9" s="167">
        <f>97090837+42494-42494-1105598+1105598-660592+660592-1763670+820000+942520+1150+4500000-1045300+300000+745300</f>
        <v>101590837</v>
      </c>
      <c r="X9" s="167">
        <v>76824878</v>
      </c>
      <c r="Y9" s="167"/>
      <c r="Z9" s="167"/>
      <c r="AA9" s="167"/>
      <c r="AB9" s="167"/>
      <c r="AC9" s="167">
        <v>15891612</v>
      </c>
      <c r="AD9" s="167"/>
      <c r="AE9" s="167"/>
      <c r="AF9" s="167">
        <f>480000+2340000+2400000+960000+1000000+295276+507573-3300000+420000+2880000</f>
        <v>7982849</v>
      </c>
      <c r="AG9" s="167">
        <v>7982849</v>
      </c>
      <c r="AH9" s="167"/>
      <c r="AI9" s="167"/>
      <c r="AJ9" s="167"/>
      <c r="AK9" s="167"/>
      <c r="AL9" s="167"/>
      <c r="AM9" s="167"/>
      <c r="AN9" s="167">
        <f>D9+G9+J9+M9+Y9+AK9+P9+S9+V9+AB9+AE9+AH9</f>
        <v>610709780</v>
      </c>
      <c r="AO9" s="167">
        <f>E9+H9+K9+N9+Z9+AL9+Q9+T9+W9+AC9+AF9+AI9</f>
        <v>672389249</v>
      </c>
      <c r="AP9" s="167">
        <f>F9+I9+L9+O9+AA9+AM9+R9+U9+X9+AD9+AG9+AJ9</f>
        <v>593686062</v>
      </c>
      <c r="AQ9" s="80">
        <f>+F9+I9+X9+AM9</f>
        <v>507559736</v>
      </c>
      <c r="AS9" s="80">
        <f>+L9+O9+R9+U9+AA9+AD9+AG9+AJ9</f>
        <v>86126326</v>
      </c>
      <c r="AT9" s="80">
        <f>+AS9+AQ9-AP9</f>
        <v>0</v>
      </c>
    </row>
    <row r="10" spans="1:46" ht="21.75" customHeight="1" x14ac:dyDescent="0.25">
      <c r="A10" s="25" t="s">
        <v>192</v>
      </c>
      <c r="B10" s="27" t="s">
        <v>203</v>
      </c>
      <c r="C10" s="128" t="s">
        <v>204</v>
      </c>
      <c r="D10" s="167"/>
      <c r="E10" s="167"/>
      <c r="F10" s="167"/>
      <c r="G10" s="167">
        <f>59768255+8580000</f>
        <v>68348255</v>
      </c>
      <c r="H10" s="167">
        <v>71891310</v>
      </c>
      <c r="I10" s="167">
        <v>62104428</v>
      </c>
      <c r="J10" s="167">
        <v>8760238</v>
      </c>
      <c r="K10" s="167">
        <v>9228238</v>
      </c>
      <c r="L10" s="167">
        <v>7498871</v>
      </c>
      <c r="M10" s="167">
        <v>2363439</v>
      </c>
      <c r="N10" s="167">
        <v>2682035</v>
      </c>
      <c r="O10" s="167">
        <v>2682035</v>
      </c>
      <c r="P10" s="167"/>
      <c r="Q10" s="167"/>
      <c r="R10" s="167"/>
      <c r="S10" s="167"/>
      <c r="T10" s="167"/>
      <c r="U10" s="167"/>
      <c r="V10" s="167">
        <v>13269309</v>
      </c>
      <c r="W10" s="167">
        <f>13269309+585000</f>
        <v>13854309</v>
      </c>
      <c r="X10" s="167">
        <v>10453425</v>
      </c>
      <c r="Y10" s="167"/>
      <c r="Z10" s="167"/>
      <c r="AA10" s="167"/>
      <c r="AB10" s="167"/>
      <c r="AC10" s="167">
        <v>2065909</v>
      </c>
      <c r="AD10" s="167"/>
      <c r="AE10" s="167"/>
      <c r="AF10" s="167">
        <f>366600+690700+169661</f>
        <v>1226961</v>
      </c>
      <c r="AG10" s="167">
        <v>1226961</v>
      </c>
      <c r="AH10" s="167"/>
      <c r="AI10" s="167"/>
      <c r="AJ10" s="167"/>
      <c r="AK10" s="167"/>
      <c r="AL10" s="167"/>
      <c r="AM10" s="167"/>
      <c r="AN10" s="167">
        <f t="shared" ref="AN10:AN51" si="0">D10+G10+J10+M10+Y10+AK10+P10+S10+V10+AB10+AE10+AH10</f>
        <v>92741241</v>
      </c>
      <c r="AO10" s="167">
        <f t="shared" ref="AO10:AP51" si="1">E10+H10+K10+N10+Z10+AL10+Q10+T10+W10+AC10+AF10+AI10</f>
        <v>100948762</v>
      </c>
      <c r="AP10" s="167">
        <f t="shared" si="1"/>
        <v>83965720</v>
      </c>
      <c r="AQ10" s="80">
        <f t="shared" ref="AQ10:AQ51" si="2">+F10+I10+X10+AM10</f>
        <v>72557853</v>
      </c>
      <c r="AS10" s="80">
        <f t="shared" ref="AS10:AS51" si="3">+L10+O10+R10+U10+AA10+AD10+AG10+AJ10</f>
        <v>11407867</v>
      </c>
      <c r="AT10" s="80">
        <f t="shared" ref="AT10:AT51" si="4">+AS10+AQ10-AP10</f>
        <v>0</v>
      </c>
    </row>
    <row r="11" spans="1:46" s="234" customFormat="1" ht="21.75" customHeight="1" x14ac:dyDescent="0.25">
      <c r="A11" s="231" t="s">
        <v>193</v>
      </c>
      <c r="B11" s="232" t="s">
        <v>331</v>
      </c>
      <c r="C11" s="233" t="s">
        <v>205</v>
      </c>
      <c r="D11" s="169"/>
      <c r="E11" s="169"/>
      <c r="F11" s="169"/>
      <c r="G11" s="169">
        <f>+(96409200)+241755+897113</f>
        <v>97548068</v>
      </c>
      <c r="H11" s="169">
        <v>99367720</v>
      </c>
      <c r="I11" s="169">
        <v>84606803</v>
      </c>
      <c r="J11" s="169">
        <f>+(19262012)+263551+1967377</f>
        <v>21492940</v>
      </c>
      <c r="K11" s="169">
        <v>21591562</v>
      </c>
      <c r="L11" s="169">
        <v>16858375</v>
      </c>
      <c r="M11" s="169">
        <f>+(6736700)+22371+44470</f>
        <v>6803541</v>
      </c>
      <c r="N11" s="169">
        <v>6835697</v>
      </c>
      <c r="O11" s="169">
        <v>3258072</v>
      </c>
      <c r="P11" s="169"/>
      <c r="Q11" s="169"/>
      <c r="R11" s="169"/>
      <c r="S11" s="169"/>
      <c r="T11" s="169"/>
      <c r="U11" s="169"/>
      <c r="V11" s="169">
        <f>+(18469470)+90210+292182</f>
        <v>18851862</v>
      </c>
      <c r="W11" s="169">
        <v>20223692</v>
      </c>
      <c r="X11" s="169">
        <v>14686751</v>
      </c>
      <c r="Y11" s="169"/>
      <c r="Z11" s="169"/>
      <c r="AA11" s="169"/>
      <c r="AB11" s="169">
        <v>1000000</v>
      </c>
      <c r="AC11" s="169">
        <f>1000000+748031+201969</f>
        <v>1950000</v>
      </c>
      <c r="AD11" s="169"/>
      <c r="AE11" s="169">
        <v>1000000</v>
      </c>
      <c r="AF11" s="169">
        <f>1000000+283818+350000+405906-72281+72281-399664-107909+149330+234000+364773+103700+223805+223805</f>
        <v>2831564</v>
      </c>
      <c r="AG11" s="169">
        <v>2813359</v>
      </c>
      <c r="AH11" s="169">
        <v>1000000</v>
      </c>
      <c r="AI11" s="169">
        <f>1000000-787402-212598</f>
        <v>0</v>
      </c>
      <c r="AJ11" s="169"/>
      <c r="AK11" s="169">
        <f>+(2286000)+134132</f>
        <v>2420132</v>
      </c>
      <c r="AL11" s="169">
        <v>2308176</v>
      </c>
      <c r="AM11" s="169">
        <v>1585647</v>
      </c>
      <c r="AN11" s="167">
        <f t="shared" si="0"/>
        <v>150116543</v>
      </c>
      <c r="AO11" s="167">
        <f t="shared" si="1"/>
        <v>155108411</v>
      </c>
      <c r="AP11" s="167">
        <f t="shared" si="1"/>
        <v>123809007</v>
      </c>
      <c r="AQ11" s="80">
        <f t="shared" si="2"/>
        <v>100879201</v>
      </c>
      <c r="AS11" s="80">
        <f t="shared" si="3"/>
        <v>22929806</v>
      </c>
      <c r="AT11" s="80">
        <f t="shared" si="4"/>
        <v>0</v>
      </c>
    </row>
    <row r="12" spans="1:46" ht="21.75" customHeight="1" x14ac:dyDescent="0.25">
      <c r="A12" s="25" t="s">
        <v>194</v>
      </c>
      <c r="B12" s="28" t="s">
        <v>332</v>
      </c>
      <c r="C12" s="128" t="s">
        <v>206</v>
      </c>
      <c r="D12" s="167"/>
      <c r="E12" s="167"/>
      <c r="F12" s="167"/>
      <c r="G12" s="167"/>
      <c r="H12" s="167"/>
      <c r="I12" s="167"/>
      <c r="J12" s="167"/>
      <c r="K12" s="167"/>
      <c r="L12" s="167"/>
      <c r="M12" s="167"/>
      <c r="N12" s="167"/>
      <c r="O12" s="167"/>
      <c r="P12" s="167"/>
      <c r="Q12" s="167"/>
      <c r="R12" s="167"/>
      <c r="S12" s="167"/>
      <c r="T12" s="167"/>
      <c r="U12" s="167"/>
      <c r="V12" s="169"/>
      <c r="W12" s="169"/>
      <c r="X12" s="169"/>
      <c r="Y12" s="167"/>
      <c r="Z12" s="167"/>
      <c r="AA12" s="167"/>
      <c r="AB12" s="167"/>
      <c r="AC12" s="167"/>
      <c r="AD12" s="167"/>
      <c r="AE12" s="167"/>
      <c r="AF12" s="167"/>
      <c r="AG12" s="167"/>
      <c r="AH12" s="167"/>
      <c r="AI12" s="167"/>
      <c r="AJ12" s="167"/>
      <c r="AK12" s="167"/>
      <c r="AL12" s="167"/>
      <c r="AM12" s="167"/>
      <c r="AN12" s="167">
        <f t="shared" si="0"/>
        <v>0</v>
      </c>
      <c r="AO12" s="167">
        <f t="shared" si="1"/>
        <v>0</v>
      </c>
      <c r="AP12" s="167">
        <f t="shared" si="1"/>
        <v>0</v>
      </c>
      <c r="AQ12" s="80">
        <f t="shared" si="2"/>
        <v>0</v>
      </c>
      <c r="AS12" s="80">
        <f t="shared" si="3"/>
        <v>0</v>
      </c>
      <c r="AT12" s="80">
        <f t="shared" si="4"/>
        <v>0</v>
      </c>
    </row>
    <row r="13" spans="1:46" ht="21.75" customHeight="1" x14ac:dyDescent="0.25">
      <c r="A13" s="25" t="s">
        <v>195</v>
      </c>
      <c r="B13" s="28" t="s">
        <v>237</v>
      </c>
      <c r="C13" s="128" t="s">
        <v>207</v>
      </c>
      <c r="D13" s="167">
        <f>SUM(D14:D16)</f>
        <v>0</v>
      </c>
      <c r="E13" s="167">
        <f>SUM(E14:E16)</f>
        <v>34588794</v>
      </c>
      <c r="F13" s="167">
        <f t="shared" ref="F13:AP13" si="5">SUM(F14:F16)</f>
        <v>34588794</v>
      </c>
      <c r="G13" s="167">
        <f t="shared" si="5"/>
        <v>0</v>
      </c>
      <c r="H13" s="167">
        <f t="shared" si="5"/>
        <v>0</v>
      </c>
      <c r="I13" s="167">
        <f t="shared" si="5"/>
        <v>0</v>
      </c>
      <c r="J13" s="167">
        <f t="shared" si="5"/>
        <v>0</v>
      </c>
      <c r="K13" s="167">
        <f t="shared" si="5"/>
        <v>0</v>
      </c>
      <c r="L13" s="167">
        <f t="shared" si="5"/>
        <v>0</v>
      </c>
      <c r="M13" s="167">
        <f t="shared" si="5"/>
        <v>0</v>
      </c>
      <c r="N13" s="167">
        <f t="shared" si="5"/>
        <v>0</v>
      </c>
      <c r="O13" s="167">
        <f t="shared" si="5"/>
        <v>0</v>
      </c>
      <c r="P13" s="167">
        <f t="shared" si="5"/>
        <v>0</v>
      </c>
      <c r="Q13" s="167">
        <f t="shared" si="5"/>
        <v>0</v>
      </c>
      <c r="R13" s="167">
        <f t="shared" si="5"/>
        <v>0</v>
      </c>
      <c r="S13" s="167">
        <f t="shared" si="5"/>
        <v>0</v>
      </c>
      <c r="T13" s="167">
        <f t="shared" si="5"/>
        <v>0</v>
      </c>
      <c r="U13" s="167">
        <f t="shared" si="5"/>
        <v>0</v>
      </c>
      <c r="V13" s="167">
        <f t="shared" si="5"/>
        <v>0</v>
      </c>
      <c r="W13" s="167">
        <f t="shared" si="5"/>
        <v>0</v>
      </c>
      <c r="X13" s="167">
        <f t="shared" si="5"/>
        <v>0</v>
      </c>
      <c r="Y13" s="167">
        <f t="shared" si="5"/>
        <v>0</v>
      </c>
      <c r="Z13" s="167">
        <f t="shared" si="5"/>
        <v>0</v>
      </c>
      <c r="AA13" s="167">
        <f t="shared" si="5"/>
        <v>0</v>
      </c>
      <c r="AB13" s="167">
        <f t="shared" si="5"/>
        <v>0</v>
      </c>
      <c r="AC13" s="167">
        <f t="shared" si="5"/>
        <v>0</v>
      </c>
      <c r="AD13" s="167">
        <f t="shared" si="5"/>
        <v>0</v>
      </c>
      <c r="AE13" s="167">
        <f t="shared" si="5"/>
        <v>0</v>
      </c>
      <c r="AF13" s="167">
        <f t="shared" si="5"/>
        <v>0</v>
      </c>
      <c r="AG13" s="167">
        <f t="shared" si="5"/>
        <v>0</v>
      </c>
      <c r="AH13" s="167">
        <f t="shared" si="5"/>
        <v>0</v>
      </c>
      <c r="AI13" s="167">
        <f t="shared" si="5"/>
        <v>0</v>
      </c>
      <c r="AJ13" s="167">
        <f t="shared" si="5"/>
        <v>0</v>
      </c>
      <c r="AK13" s="167">
        <f t="shared" si="5"/>
        <v>0</v>
      </c>
      <c r="AL13" s="167">
        <f t="shared" si="5"/>
        <v>0</v>
      </c>
      <c r="AM13" s="167">
        <f t="shared" si="5"/>
        <v>0</v>
      </c>
      <c r="AN13" s="167">
        <f t="shared" si="5"/>
        <v>0</v>
      </c>
      <c r="AO13" s="167">
        <f t="shared" si="5"/>
        <v>34588794</v>
      </c>
      <c r="AP13" s="167">
        <f t="shared" si="5"/>
        <v>34588794</v>
      </c>
      <c r="AQ13" s="80">
        <f t="shared" si="2"/>
        <v>34588794</v>
      </c>
      <c r="AS13" s="80">
        <f t="shared" si="3"/>
        <v>0</v>
      </c>
      <c r="AT13" s="80">
        <f t="shared" si="4"/>
        <v>0</v>
      </c>
    </row>
    <row r="14" spans="1:46" ht="21.75" customHeight="1" x14ac:dyDescent="0.25">
      <c r="A14" s="25" t="s">
        <v>196</v>
      </c>
      <c r="B14" s="29" t="s">
        <v>538</v>
      </c>
      <c r="C14" s="128"/>
      <c r="D14" s="167"/>
      <c r="E14" s="167"/>
      <c r="F14" s="167"/>
      <c r="G14" s="167"/>
      <c r="H14" s="167"/>
      <c r="I14" s="167"/>
      <c r="J14" s="167"/>
      <c r="K14" s="167"/>
      <c r="L14" s="167"/>
      <c r="M14" s="167"/>
      <c r="N14" s="167"/>
      <c r="O14" s="167"/>
      <c r="P14" s="167"/>
      <c r="Q14" s="167"/>
      <c r="R14" s="167"/>
      <c r="S14" s="167"/>
      <c r="T14" s="167"/>
      <c r="U14" s="167"/>
      <c r="V14" s="169"/>
      <c r="W14" s="169"/>
      <c r="X14" s="169"/>
      <c r="Y14" s="167"/>
      <c r="Z14" s="167"/>
      <c r="AA14" s="167"/>
      <c r="AB14" s="167"/>
      <c r="AC14" s="167"/>
      <c r="AD14" s="167"/>
      <c r="AE14" s="167"/>
      <c r="AF14" s="167"/>
      <c r="AG14" s="167"/>
      <c r="AH14" s="167"/>
      <c r="AI14" s="167"/>
      <c r="AJ14" s="167"/>
      <c r="AK14" s="167"/>
      <c r="AL14" s="167"/>
      <c r="AM14" s="167"/>
      <c r="AN14" s="167">
        <f t="shared" si="0"/>
        <v>0</v>
      </c>
      <c r="AO14" s="167">
        <f t="shared" si="1"/>
        <v>0</v>
      </c>
      <c r="AP14" s="167">
        <f t="shared" si="1"/>
        <v>0</v>
      </c>
      <c r="AQ14" s="80">
        <f t="shared" si="2"/>
        <v>0</v>
      </c>
      <c r="AS14" s="80">
        <f t="shared" si="3"/>
        <v>0</v>
      </c>
      <c r="AT14" s="80">
        <f t="shared" si="4"/>
        <v>0</v>
      </c>
    </row>
    <row r="15" spans="1:46" ht="21.75" customHeight="1" x14ac:dyDescent="0.25">
      <c r="A15" s="25" t="s">
        <v>197</v>
      </c>
      <c r="B15" s="29" t="s">
        <v>540</v>
      </c>
      <c r="C15" s="129"/>
      <c r="D15" s="167"/>
      <c r="E15" s="167"/>
      <c r="F15" s="167"/>
      <c r="G15" s="167"/>
      <c r="H15" s="167"/>
      <c r="I15" s="167"/>
      <c r="J15" s="167"/>
      <c r="K15" s="167"/>
      <c r="L15" s="167"/>
      <c r="M15" s="167"/>
      <c r="N15" s="167"/>
      <c r="O15" s="167"/>
      <c r="P15" s="167"/>
      <c r="Q15" s="167"/>
      <c r="R15" s="167"/>
      <c r="S15" s="167"/>
      <c r="T15" s="167"/>
      <c r="U15" s="167"/>
      <c r="V15" s="169"/>
      <c r="W15" s="169"/>
      <c r="X15" s="169"/>
      <c r="Y15" s="167"/>
      <c r="Z15" s="167"/>
      <c r="AA15" s="167"/>
      <c r="AB15" s="167"/>
      <c r="AC15" s="167"/>
      <c r="AD15" s="167"/>
      <c r="AE15" s="167"/>
      <c r="AF15" s="167"/>
      <c r="AG15" s="167"/>
      <c r="AH15" s="167"/>
      <c r="AI15" s="167"/>
      <c r="AJ15" s="167"/>
      <c r="AK15" s="167"/>
      <c r="AL15" s="167"/>
      <c r="AM15" s="167"/>
      <c r="AN15" s="167">
        <f t="shared" si="0"/>
        <v>0</v>
      </c>
      <c r="AO15" s="167">
        <f t="shared" si="1"/>
        <v>0</v>
      </c>
      <c r="AP15" s="167">
        <f t="shared" si="1"/>
        <v>0</v>
      </c>
      <c r="AQ15" s="80">
        <f t="shared" si="2"/>
        <v>0</v>
      </c>
      <c r="AS15" s="80">
        <f t="shared" si="3"/>
        <v>0</v>
      </c>
      <c r="AT15" s="80">
        <f t="shared" si="4"/>
        <v>0</v>
      </c>
    </row>
    <row r="16" spans="1:46" ht="21.75" customHeight="1" x14ac:dyDescent="0.25">
      <c r="A16" s="25" t="s">
        <v>198</v>
      </c>
      <c r="B16" s="88" t="s">
        <v>539</v>
      </c>
      <c r="C16" s="129"/>
      <c r="D16" s="167"/>
      <c r="E16" s="167">
        <v>34588794</v>
      </c>
      <c r="F16" s="167">
        <v>34588794</v>
      </c>
      <c r="G16" s="167"/>
      <c r="H16" s="167"/>
      <c r="I16" s="167"/>
      <c r="J16" s="167"/>
      <c r="K16" s="167"/>
      <c r="L16" s="167"/>
      <c r="M16" s="167"/>
      <c r="N16" s="167"/>
      <c r="O16" s="167"/>
      <c r="P16" s="167"/>
      <c r="Q16" s="167"/>
      <c r="R16" s="167"/>
      <c r="S16" s="167"/>
      <c r="T16" s="167"/>
      <c r="U16" s="167"/>
      <c r="V16" s="169"/>
      <c r="W16" s="169"/>
      <c r="X16" s="169"/>
      <c r="Y16" s="167"/>
      <c r="Z16" s="167"/>
      <c r="AA16" s="167"/>
      <c r="AB16" s="167"/>
      <c r="AC16" s="167"/>
      <c r="AD16" s="167"/>
      <c r="AE16" s="167"/>
      <c r="AF16" s="167"/>
      <c r="AG16" s="167"/>
      <c r="AH16" s="167"/>
      <c r="AI16" s="167"/>
      <c r="AJ16" s="167"/>
      <c r="AK16" s="167"/>
      <c r="AL16" s="167"/>
      <c r="AM16" s="167"/>
      <c r="AN16" s="167">
        <f t="shared" si="0"/>
        <v>0</v>
      </c>
      <c r="AO16" s="167">
        <f t="shared" si="1"/>
        <v>34588794</v>
      </c>
      <c r="AP16" s="167">
        <f t="shared" si="1"/>
        <v>34588794</v>
      </c>
      <c r="AQ16" s="80">
        <f t="shared" si="2"/>
        <v>34588794</v>
      </c>
      <c r="AS16" s="80">
        <f t="shared" si="3"/>
        <v>0</v>
      </c>
      <c r="AT16" s="80">
        <f t="shared" si="4"/>
        <v>0</v>
      </c>
    </row>
    <row r="17" spans="1:46" ht="21.75" customHeight="1" x14ac:dyDescent="0.25">
      <c r="A17" s="25" t="s">
        <v>199</v>
      </c>
      <c r="B17" s="31" t="s">
        <v>244</v>
      </c>
      <c r="C17" s="128" t="s">
        <v>208</v>
      </c>
      <c r="D17" s="167"/>
      <c r="E17" s="167"/>
      <c r="F17" s="167"/>
      <c r="G17" s="167">
        <v>20066000</v>
      </c>
      <c r="H17" s="167">
        <v>33302695</v>
      </c>
      <c r="I17" s="167">
        <v>12323048</v>
      </c>
      <c r="J17" s="167">
        <v>5780000</v>
      </c>
      <c r="K17" s="167">
        <v>5780000</v>
      </c>
      <c r="L17" s="167">
        <v>349724</v>
      </c>
      <c r="M17" s="167">
        <v>1460500</v>
      </c>
      <c r="N17" s="167">
        <v>5500737</v>
      </c>
      <c r="O17" s="167">
        <v>4933567</v>
      </c>
      <c r="P17" s="167"/>
      <c r="Q17" s="167"/>
      <c r="R17" s="167"/>
      <c r="S17" s="167"/>
      <c r="T17" s="167"/>
      <c r="U17" s="167"/>
      <c r="V17" s="169">
        <v>6731000</v>
      </c>
      <c r="W17" s="169">
        <v>6731000</v>
      </c>
      <c r="X17" s="169">
        <v>1147554</v>
      </c>
      <c r="Y17" s="167"/>
      <c r="Z17" s="167"/>
      <c r="AA17" s="167"/>
      <c r="AB17" s="167"/>
      <c r="AC17" s="167"/>
      <c r="AD17" s="167"/>
      <c r="AE17" s="167"/>
      <c r="AF17" s="167"/>
      <c r="AG17" s="167"/>
      <c r="AH17" s="167"/>
      <c r="AI17" s="167"/>
      <c r="AJ17" s="167"/>
      <c r="AK17" s="167"/>
      <c r="AL17" s="167"/>
      <c r="AM17" s="167"/>
      <c r="AN17" s="167">
        <f t="shared" si="0"/>
        <v>34037500</v>
      </c>
      <c r="AO17" s="167">
        <f t="shared" si="1"/>
        <v>51314432</v>
      </c>
      <c r="AP17" s="167">
        <f t="shared" si="1"/>
        <v>18753893</v>
      </c>
      <c r="AQ17" s="80">
        <f t="shared" si="2"/>
        <v>13470602</v>
      </c>
      <c r="AS17" s="80">
        <f t="shared" si="3"/>
        <v>5283291</v>
      </c>
      <c r="AT17" s="80">
        <f t="shared" si="4"/>
        <v>0</v>
      </c>
    </row>
    <row r="18" spans="1:46" ht="21.75" customHeight="1" x14ac:dyDescent="0.25">
      <c r="A18" s="25" t="s">
        <v>200</v>
      </c>
      <c r="B18" s="28" t="s">
        <v>333</v>
      </c>
      <c r="C18" s="128" t="s">
        <v>209</v>
      </c>
      <c r="D18" s="167"/>
      <c r="E18" s="167"/>
      <c r="F18" s="167"/>
      <c r="G18" s="167"/>
      <c r="H18" s="167"/>
      <c r="I18" s="167"/>
      <c r="J18" s="167"/>
      <c r="K18" s="167"/>
      <c r="L18" s="167"/>
      <c r="M18" s="167"/>
      <c r="N18" s="167"/>
      <c r="O18" s="167"/>
      <c r="P18" s="167"/>
      <c r="Q18" s="167"/>
      <c r="R18" s="167"/>
      <c r="S18" s="167"/>
      <c r="T18" s="167"/>
      <c r="U18" s="167"/>
      <c r="V18" s="169"/>
      <c r="W18" s="169"/>
      <c r="X18" s="169"/>
      <c r="Y18" s="167"/>
      <c r="Z18" s="167"/>
      <c r="AA18" s="167"/>
      <c r="AB18" s="167"/>
      <c r="AC18" s="167"/>
      <c r="AD18" s="167"/>
      <c r="AE18" s="167"/>
      <c r="AF18" s="167"/>
      <c r="AG18" s="167"/>
      <c r="AH18" s="167"/>
      <c r="AI18" s="167"/>
      <c r="AJ18" s="167"/>
      <c r="AK18" s="167"/>
      <c r="AL18" s="167"/>
      <c r="AM18" s="167"/>
      <c r="AN18" s="167">
        <f t="shared" si="0"/>
        <v>0</v>
      </c>
      <c r="AO18" s="167">
        <f t="shared" si="1"/>
        <v>0</v>
      </c>
      <c r="AP18" s="167">
        <f t="shared" si="1"/>
        <v>0</v>
      </c>
      <c r="AQ18" s="80">
        <f t="shared" si="2"/>
        <v>0</v>
      </c>
      <c r="AS18" s="80">
        <f t="shared" si="3"/>
        <v>0</v>
      </c>
      <c r="AT18" s="80">
        <f t="shared" si="4"/>
        <v>0</v>
      </c>
    </row>
    <row r="19" spans="1:46" ht="21.75" customHeight="1" x14ac:dyDescent="0.25">
      <c r="A19" s="25" t="s">
        <v>201</v>
      </c>
      <c r="B19" s="28" t="s">
        <v>238</v>
      </c>
      <c r="C19" s="128" t="s">
        <v>210</v>
      </c>
      <c r="D19" s="167">
        <f>D20</f>
        <v>0</v>
      </c>
      <c r="E19" s="167">
        <f t="shared" ref="E19:AL19" si="6">E20</f>
        <v>0</v>
      </c>
      <c r="F19" s="167"/>
      <c r="G19" s="167">
        <f t="shared" si="6"/>
        <v>10000000</v>
      </c>
      <c r="H19" s="167">
        <f t="shared" si="6"/>
        <v>15500000</v>
      </c>
      <c r="I19" s="167">
        <f t="shared" si="6"/>
        <v>15500000</v>
      </c>
      <c r="J19" s="167">
        <f t="shared" si="6"/>
        <v>0</v>
      </c>
      <c r="K19" s="167">
        <f t="shared" si="6"/>
        <v>0</v>
      </c>
      <c r="L19" s="167"/>
      <c r="M19" s="167">
        <f t="shared" si="6"/>
        <v>0</v>
      </c>
      <c r="N19" s="167">
        <f t="shared" si="6"/>
        <v>0</v>
      </c>
      <c r="O19" s="167"/>
      <c r="P19" s="167">
        <f t="shared" si="6"/>
        <v>0</v>
      </c>
      <c r="Q19" s="167">
        <f t="shared" si="6"/>
        <v>0</v>
      </c>
      <c r="R19" s="167"/>
      <c r="S19" s="167">
        <f t="shared" si="6"/>
        <v>0</v>
      </c>
      <c r="T19" s="167">
        <f t="shared" si="6"/>
        <v>0</v>
      </c>
      <c r="U19" s="167"/>
      <c r="V19" s="167">
        <f t="shared" si="6"/>
        <v>0</v>
      </c>
      <c r="W19" s="167">
        <f t="shared" si="6"/>
        <v>0</v>
      </c>
      <c r="X19" s="167"/>
      <c r="Y19" s="167">
        <f t="shared" si="6"/>
        <v>0</v>
      </c>
      <c r="Z19" s="167">
        <f t="shared" si="6"/>
        <v>0</v>
      </c>
      <c r="AA19" s="167"/>
      <c r="AB19" s="167">
        <f t="shared" si="6"/>
        <v>0</v>
      </c>
      <c r="AC19" s="167">
        <f t="shared" si="6"/>
        <v>0</v>
      </c>
      <c r="AD19" s="167"/>
      <c r="AE19" s="167">
        <f t="shared" si="6"/>
        <v>0</v>
      </c>
      <c r="AF19" s="167">
        <f t="shared" si="6"/>
        <v>0</v>
      </c>
      <c r="AG19" s="167"/>
      <c r="AH19" s="167">
        <f t="shared" si="6"/>
        <v>0</v>
      </c>
      <c r="AI19" s="167">
        <f t="shared" si="6"/>
        <v>0</v>
      </c>
      <c r="AJ19" s="167"/>
      <c r="AK19" s="167">
        <f t="shared" si="6"/>
        <v>0</v>
      </c>
      <c r="AL19" s="167">
        <f t="shared" si="6"/>
        <v>0</v>
      </c>
      <c r="AM19" s="167"/>
      <c r="AN19" s="167">
        <f t="shared" si="0"/>
        <v>10000000</v>
      </c>
      <c r="AO19" s="167">
        <f t="shared" si="1"/>
        <v>15500000</v>
      </c>
      <c r="AP19" s="167">
        <f t="shared" si="1"/>
        <v>15500000</v>
      </c>
      <c r="AQ19" s="80">
        <f t="shared" si="2"/>
        <v>15500000</v>
      </c>
      <c r="AS19" s="80">
        <f t="shared" si="3"/>
        <v>0</v>
      </c>
      <c r="AT19" s="80">
        <f t="shared" si="4"/>
        <v>0</v>
      </c>
    </row>
    <row r="20" spans="1:46" ht="21.75" customHeight="1" x14ac:dyDescent="0.25">
      <c r="A20" s="25" t="s">
        <v>228</v>
      </c>
      <c r="B20" s="29" t="s">
        <v>541</v>
      </c>
      <c r="C20" s="128"/>
      <c r="D20" s="167"/>
      <c r="E20" s="167"/>
      <c r="F20" s="167"/>
      <c r="G20" s="167">
        <f>+'4.sz.Felhalm.c.pe.átadás'!AF25</f>
        <v>10000000</v>
      </c>
      <c r="H20" s="167">
        <v>15500000</v>
      </c>
      <c r="I20" s="167">
        <v>15500000</v>
      </c>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f t="shared" si="0"/>
        <v>10000000</v>
      </c>
      <c r="AO20" s="167">
        <f t="shared" si="1"/>
        <v>15500000</v>
      </c>
      <c r="AP20" s="167">
        <f t="shared" si="1"/>
        <v>15500000</v>
      </c>
      <c r="AQ20" s="80">
        <f t="shared" si="2"/>
        <v>15500000</v>
      </c>
      <c r="AS20" s="80">
        <f t="shared" si="3"/>
        <v>0</v>
      </c>
      <c r="AT20" s="80">
        <f t="shared" si="4"/>
        <v>0</v>
      </c>
    </row>
    <row r="21" spans="1:46" s="35" customFormat="1" ht="21.75" customHeight="1" x14ac:dyDescent="0.25">
      <c r="A21" s="25" t="s">
        <v>229</v>
      </c>
      <c r="B21" s="31" t="s">
        <v>239</v>
      </c>
      <c r="C21" s="128" t="s">
        <v>211</v>
      </c>
      <c r="D21" s="168">
        <f>+D9+D10+D11+D12+D13+D17+D18+D19</f>
        <v>0</v>
      </c>
      <c r="E21" s="168">
        <f>+E9+E10+E11+E12+E13+E17+E18+E19</f>
        <v>34588794</v>
      </c>
      <c r="F21" s="168">
        <f t="shared" ref="F21:AP21" si="7">+F9+F10+F11+F12+F13+F17+F18+F19</f>
        <v>34588794</v>
      </c>
      <c r="G21" s="168">
        <f t="shared" si="7"/>
        <v>630283747</v>
      </c>
      <c r="H21" s="168">
        <f t="shared" si="7"/>
        <v>681445974</v>
      </c>
      <c r="I21" s="168">
        <f t="shared" si="7"/>
        <v>605269137</v>
      </c>
      <c r="J21" s="168">
        <f t="shared" si="7"/>
        <v>97688857</v>
      </c>
      <c r="K21" s="168">
        <f t="shared" si="7"/>
        <v>101855479</v>
      </c>
      <c r="L21" s="168">
        <f t="shared" si="7"/>
        <v>82643265</v>
      </c>
      <c r="M21" s="168">
        <f t="shared" si="7"/>
        <v>28269320</v>
      </c>
      <c r="N21" s="168">
        <f t="shared" si="7"/>
        <v>35302492</v>
      </c>
      <c r="O21" s="168">
        <f t="shared" si="7"/>
        <v>31080856</v>
      </c>
      <c r="P21" s="168">
        <f t="shared" si="7"/>
        <v>0</v>
      </c>
      <c r="Q21" s="168">
        <f t="shared" si="7"/>
        <v>0</v>
      </c>
      <c r="R21" s="168">
        <f t="shared" si="7"/>
        <v>0</v>
      </c>
      <c r="S21" s="168">
        <f t="shared" si="7"/>
        <v>0</v>
      </c>
      <c r="T21" s="168">
        <f t="shared" si="7"/>
        <v>0</v>
      </c>
      <c r="U21" s="168">
        <f t="shared" si="7"/>
        <v>0</v>
      </c>
      <c r="V21" s="168">
        <f t="shared" si="7"/>
        <v>135943008</v>
      </c>
      <c r="W21" s="168">
        <f t="shared" si="7"/>
        <v>142399838</v>
      </c>
      <c r="X21" s="168">
        <f t="shared" si="7"/>
        <v>103112608</v>
      </c>
      <c r="Y21" s="168">
        <f t="shared" si="7"/>
        <v>0</v>
      </c>
      <c r="Z21" s="168">
        <f t="shared" si="7"/>
        <v>0</v>
      </c>
      <c r="AA21" s="168">
        <f t="shared" si="7"/>
        <v>0</v>
      </c>
      <c r="AB21" s="168">
        <f t="shared" si="7"/>
        <v>1000000</v>
      </c>
      <c r="AC21" s="168">
        <f t="shared" si="7"/>
        <v>19907521</v>
      </c>
      <c r="AD21" s="168">
        <f t="shared" si="7"/>
        <v>0</v>
      </c>
      <c r="AE21" s="168">
        <f t="shared" si="7"/>
        <v>1000000</v>
      </c>
      <c r="AF21" s="168">
        <f t="shared" si="7"/>
        <v>12041374</v>
      </c>
      <c r="AG21" s="168">
        <f t="shared" si="7"/>
        <v>12023169</v>
      </c>
      <c r="AH21" s="168">
        <f t="shared" si="7"/>
        <v>1000000</v>
      </c>
      <c r="AI21" s="168">
        <f t="shared" si="7"/>
        <v>0</v>
      </c>
      <c r="AJ21" s="168">
        <f t="shared" si="7"/>
        <v>0</v>
      </c>
      <c r="AK21" s="168">
        <f t="shared" si="7"/>
        <v>2420132</v>
      </c>
      <c r="AL21" s="168">
        <f t="shared" si="7"/>
        <v>2308176</v>
      </c>
      <c r="AM21" s="168">
        <f t="shared" si="7"/>
        <v>1585647</v>
      </c>
      <c r="AN21" s="168">
        <f t="shared" si="7"/>
        <v>897605064</v>
      </c>
      <c r="AO21" s="168">
        <f t="shared" si="7"/>
        <v>1029849648</v>
      </c>
      <c r="AP21" s="168">
        <f t="shared" si="7"/>
        <v>870303476</v>
      </c>
      <c r="AQ21" s="80">
        <f t="shared" si="2"/>
        <v>744556186</v>
      </c>
      <c r="AS21" s="80">
        <f t="shared" si="3"/>
        <v>125747290</v>
      </c>
      <c r="AT21" s="80">
        <f t="shared" si="4"/>
        <v>0</v>
      </c>
    </row>
    <row r="22" spans="1:46" ht="21.75" customHeight="1" x14ac:dyDescent="0.25">
      <c r="A22" s="25" t="s">
        <v>230</v>
      </c>
      <c r="B22" s="31" t="s">
        <v>224</v>
      </c>
      <c r="C22" s="128" t="s">
        <v>220</v>
      </c>
      <c r="D22" s="167">
        <f>SUM(D23:D26)</f>
        <v>0</v>
      </c>
      <c r="E22" s="167">
        <f>SUM(E23:E26)</f>
        <v>0</v>
      </c>
      <c r="F22" s="167">
        <f t="shared" ref="F22:AP22" si="8">SUM(F23:F26)</f>
        <v>0</v>
      </c>
      <c r="G22" s="167">
        <f t="shared" si="8"/>
        <v>0</v>
      </c>
      <c r="H22" s="167">
        <f t="shared" si="8"/>
        <v>0</v>
      </c>
      <c r="I22" s="167">
        <f t="shared" si="8"/>
        <v>0</v>
      </c>
      <c r="J22" s="167">
        <f t="shared" si="8"/>
        <v>0</v>
      </c>
      <c r="K22" s="167">
        <f t="shared" si="8"/>
        <v>0</v>
      </c>
      <c r="L22" s="167">
        <f t="shared" si="8"/>
        <v>0</v>
      </c>
      <c r="M22" s="167">
        <f t="shared" si="8"/>
        <v>0</v>
      </c>
      <c r="N22" s="167">
        <f t="shared" si="8"/>
        <v>0</v>
      </c>
      <c r="O22" s="167">
        <f t="shared" si="8"/>
        <v>0</v>
      </c>
      <c r="P22" s="167">
        <f t="shared" si="8"/>
        <v>0</v>
      </c>
      <c r="Q22" s="167">
        <f t="shared" si="8"/>
        <v>0</v>
      </c>
      <c r="R22" s="167">
        <f t="shared" si="8"/>
        <v>0</v>
      </c>
      <c r="S22" s="167">
        <f t="shared" si="8"/>
        <v>0</v>
      </c>
      <c r="T22" s="167">
        <f t="shared" si="8"/>
        <v>0</v>
      </c>
      <c r="U22" s="167">
        <f t="shared" si="8"/>
        <v>0</v>
      </c>
      <c r="V22" s="167">
        <f t="shared" si="8"/>
        <v>0</v>
      </c>
      <c r="W22" s="167">
        <f t="shared" si="8"/>
        <v>0</v>
      </c>
      <c r="X22" s="167">
        <f t="shared" si="8"/>
        <v>0</v>
      </c>
      <c r="Y22" s="167">
        <f t="shared" si="8"/>
        <v>0</v>
      </c>
      <c r="Z22" s="167">
        <f t="shared" si="8"/>
        <v>0</v>
      </c>
      <c r="AA22" s="167">
        <f t="shared" si="8"/>
        <v>0</v>
      </c>
      <c r="AB22" s="167">
        <f t="shared" si="8"/>
        <v>0</v>
      </c>
      <c r="AC22" s="167">
        <f t="shared" si="8"/>
        <v>0</v>
      </c>
      <c r="AD22" s="167">
        <f t="shared" si="8"/>
        <v>0</v>
      </c>
      <c r="AE22" s="167">
        <f t="shared" si="8"/>
        <v>0</v>
      </c>
      <c r="AF22" s="167">
        <f t="shared" si="8"/>
        <v>0</v>
      </c>
      <c r="AG22" s="167">
        <f t="shared" si="8"/>
        <v>0</v>
      </c>
      <c r="AH22" s="167">
        <f t="shared" si="8"/>
        <v>0</v>
      </c>
      <c r="AI22" s="167">
        <f t="shared" si="8"/>
        <v>0</v>
      </c>
      <c r="AJ22" s="167">
        <f t="shared" si="8"/>
        <v>0</v>
      </c>
      <c r="AK22" s="167">
        <f t="shared" si="8"/>
        <v>0</v>
      </c>
      <c r="AL22" s="167">
        <f t="shared" si="8"/>
        <v>0</v>
      </c>
      <c r="AM22" s="167">
        <f t="shared" si="8"/>
        <v>0</v>
      </c>
      <c r="AN22" s="167">
        <f t="shared" si="8"/>
        <v>0</v>
      </c>
      <c r="AO22" s="167">
        <f t="shared" si="8"/>
        <v>0</v>
      </c>
      <c r="AP22" s="167">
        <f t="shared" si="8"/>
        <v>0</v>
      </c>
      <c r="AQ22" s="80">
        <f t="shared" si="2"/>
        <v>0</v>
      </c>
      <c r="AS22" s="80">
        <f t="shared" si="3"/>
        <v>0</v>
      </c>
      <c r="AT22" s="80">
        <f t="shared" si="4"/>
        <v>0</v>
      </c>
    </row>
    <row r="23" spans="1:46" ht="21.75" customHeight="1" x14ac:dyDescent="0.25">
      <c r="A23" s="25" t="s">
        <v>231</v>
      </c>
      <c r="B23" s="90" t="s">
        <v>179</v>
      </c>
      <c r="C23" s="129"/>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f t="shared" si="0"/>
        <v>0</v>
      </c>
      <c r="AO23" s="167">
        <f t="shared" si="1"/>
        <v>0</v>
      </c>
      <c r="AP23" s="167">
        <f t="shared" si="1"/>
        <v>0</v>
      </c>
      <c r="AQ23" s="80">
        <f t="shared" si="2"/>
        <v>0</v>
      </c>
      <c r="AS23" s="80">
        <f t="shared" si="3"/>
        <v>0</v>
      </c>
      <c r="AT23" s="80">
        <f t="shared" si="4"/>
        <v>0</v>
      </c>
    </row>
    <row r="24" spans="1:46" ht="21.75" customHeight="1" x14ac:dyDescent="0.25">
      <c r="A24" s="25" t="s">
        <v>232</v>
      </c>
      <c r="B24" s="32" t="s">
        <v>520</v>
      </c>
      <c r="C24" s="129"/>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f t="shared" si="0"/>
        <v>0</v>
      </c>
      <c r="AO24" s="167">
        <f t="shared" si="1"/>
        <v>0</v>
      </c>
      <c r="AP24" s="167">
        <f t="shared" si="1"/>
        <v>0</v>
      </c>
      <c r="AQ24" s="80">
        <f t="shared" si="2"/>
        <v>0</v>
      </c>
      <c r="AS24" s="80">
        <f t="shared" si="3"/>
        <v>0</v>
      </c>
      <c r="AT24" s="80">
        <f t="shared" si="4"/>
        <v>0</v>
      </c>
    </row>
    <row r="25" spans="1:46" ht="21.75" customHeight="1" x14ac:dyDescent="0.25">
      <c r="A25" s="25" t="s">
        <v>233</v>
      </c>
      <c r="B25" s="32" t="s">
        <v>521</v>
      </c>
      <c r="C25" s="129"/>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f t="shared" si="0"/>
        <v>0</v>
      </c>
      <c r="AO25" s="167">
        <f t="shared" si="1"/>
        <v>0</v>
      </c>
      <c r="AP25" s="167">
        <f t="shared" si="1"/>
        <v>0</v>
      </c>
      <c r="AQ25" s="80">
        <f t="shared" si="2"/>
        <v>0</v>
      </c>
      <c r="AS25" s="80">
        <f t="shared" si="3"/>
        <v>0</v>
      </c>
      <c r="AT25" s="80">
        <f t="shared" si="4"/>
        <v>0</v>
      </c>
    </row>
    <row r="26" spans="1:46" ht="21.75" customHeight="1" x14ac:dyDescent="0.25">
      <c r="A26" s="25" t="s">
        <v>234</v>
      </c>
      <c r="B26" s="32" t="s">
        <v>123</v>
      </c>
      <c r="C26" s="129"/>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f t="shared" si="0"/>
        <v>0</v>
      </c>
      <c r="AO26" s="167">
        <f t="shared" si="1"/>
        <v>0</v>
      </c>
      <c r="AP26" s="167">
        <f t="shared" si="1"/>
        <v>0</v>
      </c>
      <c r="AQ26" s="80">
        <f t="shared" si="2"/>
        <v>0</v>
      </c>
      <c r="AS26" s="80">
        <f t="shared" si="3"/>
        <v>0</v>
      </c>
      <c r="AT26" s="80">
        <f t="shared" si="4"/>
        <v>0</v>
      </c>
    </row>
    <row r="27" spans="1:46" ht="21.75" customHeight="1" x14ac:dyDescent="0.25">
      <c r="A27" s="25" t="s">
        <v>235</v>
      </c>
      <c r="B27" s="222" t="s">
        <v>742</v>
      </c>
      <c r="C27" s="129"/>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f t="shared" si="0"/>
        <v>0</v>
      </c>
      <c r="AO27" s="167">
        <f t="shared" si="1"/>
        <v>0</v>
      </c>
      <c r="AP27" s="167">
        <f t="shared" si="1"/>
        <v>0</v>
      </c>
      <c r="AQ27" s="80">
        <f t="shared" si="2"/>
        <v>0</v>
      </c>
      <c r="AS27" s="80">
        <f t="shared" si="3"/>
        <v>0</v>
      </c>
      <c r="AT27" s="80">
        <f t="shared" si="4"/>
        <v>0</v>
      </c>
    </row>
    <row r="28" spans="1:46" s="34" customFormat="1" ht="21.75" customHeight="1" x14ac:dyDescent="0.25">
      <c r="A28" s="25" t="s">
        <v>236</v>
      </c>
      <c r="B28" s="33" t="s">
        <v>32</v>
      </c>
      <c r="C28" s="128"/>
      <c r="D28" s="168">
        <f>+D9+D10+D11+D12+D13+D23+D24+D16</f>
        <v>0</v>
      </c>
      <c r="E28" s="168">
        <f>+E9+E10+E11+E12+E13+E23+E24</f>
        <v>34588794</v>
      </c>
      <c r="F28" s="168">
        <f t="shared" ref="F28:AP28" si="9">+F9+F10+F11+F12+F13+F23+F24</f>
        <v>34588794</v>
      </c>
      <c r="G28" s="168">
        <f t="shared" si="9"/>
        <v>600217747</v>
      </c>
      <c r="H28" s="168">
        <f t="shared" si="9"/>
        <v>632643279</v>
      </c>
      <c r="I28" s="168">
        <f t="shared" si="9"/>
        <v>577446089</v>
      </c>
      <c r="J28" s="168">
        <f t="shared" si="9"/>
        <v>91908857</v>
      </c>
      <c r="K28" s="168">
        <f t="shared" si="9"/>
        <v>96075479</v>
      </c>
      <c r="L28" s="168">
        <f t="shared" si="9"/>
        <v>82293541</v>
      </c>
      <c r="M28" s="168">
        <f t="shared" si="9"/>
        <v>26808820</v>
      </c>
      <c r="N28" s="168">
        <f t="shared" si="9"/>
        <v>29801755</v>
      </c>
      <c r="O28" s="168">
        <f t="shared" si="9"/>
        <v>26147289</v>
      </c>
      <c r="P28" s="168">
        <f t="shared" si="9"/>
        <v>0</v>
      </c>
      <c r="Q28" s="168">
        <f t="shared" si="9"/>
        <v>0</v>
      </c>
      <c r="R28" s="168">
        <f t="shared" si="9"/>
        <v>0</v>
      </c>
      <c r="S28" s="168">
        <f t="shared" si="9"/>
        <v>0</v>
      </c>
      <c r="T28" s="168">
        <f t="shared" si="9"/>
        <v>0</v>
      </c>
      <c r="U28" s="168">
        <f t="shared" si="9"/>
        <v>0</v>
      </c>
      <c r="V28" s="168">
        <f t="shared" si="9"/>
        <v>129212008</v>
      </c>
      <c r="W28" s="168">
        <f t="shared" si="9"/>
        <v>135668838</v>
      </c>
      <c r="X28" s="168">
        <f t="shared" si="9"/>
        <v>101965054</v>
      </c>
      <c r="Y28" s="168">
        <f t="shared" si="9"/>
        <v>0</v>
      </c>
      <c r="Z28" s="168">
        <f t="shared" si="9"/>
        <v>0</v>
      </c>
      <c r="AA28" s="168">
        <f t="shared" si="9"/>
        <v>0</v>
      </c>
      <c r="AB28" s="168">
        <f t="shared" si="9"/>
        <v>1000000</v>
      </c>
      <c r="AC28" s="168">
        <f t="shared" si="9"/>
        <v>19907521</v>
      </c>
      <c r="AD28" s="168">
        <f t="shared" si="9"/>
        <v>0</v>
      </c>
      <c r="AE28" s="168">
        <f t="shared" si="9"/>
        <v>1000000</v>
      </c>
      <c r="AF28" s="168">
        <f t="shared" si="9"/>
        <v>12041374</v>
      </c>
      <c r="AG28" s="168">
        <f t="shared" si="9"/>
        <v>12023169</v>
      </c>
      <c r="AH28" s="168">
        <f t="shared" si="9"/>
        <v>1000000</v>
      </c>
      <c r="AI28" s="168">
        <f t="shared" si="9"/>
        <v>0</v>
      </c>
      <c r="AJ28" s="168">
        <f t="shared" si="9"/>
        <v>0</v>
      </c>
      <c r="AK28" s="168">
        <f t="shared" si="9"/>
        <v>2420132</v>
      </c>
      <c r="AL28" s="168">
        <f t="shared" si="9"/>
        <v>2308176</v>
      </c>
      <c r="AM28" s="168">
        <f t="shared" si="9"/>
        <v>1585647</v>
      </c>
      <c r="AN28" s="168">
        <f t="shared" si="9"/>
        <v>853567564</v>
      </c>
      <c r="AO28" s="168">
        <f t="shared" si="9"/>
        <v>963035216</v>
      </c>
      <c r="AP28" s="168">
        <f t="shared" si="9"/>
        <v>836049583</v>
      </c>
      <c r="AQ28" s="80">
        <f t="shared" si="2"/>
        <v>715585584</v>
      </c>
      <c r="AS28" s="80">
        <f t="shared" si="3"/>
        <v>120463999</v>
      </c>
      <c r="AT28" s="80">
        <f t="shared" si="4"/>
        <v>0</v>
      </c>
    </row>
    <row r="29" spans="1:46" s="34" customFormat="1" ht="21.75" customHeight="1" x14ac:dyDescent="0.25">
      <c r="A29" s="25" t="s">
        <v>261</v>
      </c>
      <c r="B29" s="33" t="s">
        <v>33</v>
      </c>
      <c r="C29" s="128"/>
      <c r="D29" s="168">
        <f>+D17+D18+D19+D25+D26</f>
        <v>0</v>
      </c>
      <c r="E29" s="168">
        <f t="shared" ref="E29:AP29" si="10">+E17+E18+E19+E25+E26</f>
        <v>0</v>
      </c>
      <c r="F29" s="168">
        <f t="shared" si="10"/>
        <v>0</v>
      </c>
      <c r="G29" s="168">
        <f t="shared" si="10"/>
        <v>30066000</v>
      </c>
      <c r="H29" s="168">
        <f t="shared" si="10"/>
        <v>48802695</v>
      </c>
      <c r="I29" s="168">
        <f t="shared" si="10"/>
        <v>27823048</v>
      </c>
      <c r="J29" s="168">
        <f t="shared" si="10"/>
        <v>5780000</v>
      </c>
      <c r="K29" s="168">
        <f t="shared" si="10"/>
        <v>5780000</v>
      </c>
      <c r="L29" s="168">
        <f t="shared" si="10"/>
        <v>349724</v>
      </c>
      <c r="M29" s="168">
        <f t="shared" si="10"/>
        <v>1460500</v>
      </c>
      <c r="N29" s="168">
        <f t="shared" si="10"/>
        <v>5500737</v>
      </c>
      <c r="O29" s="168">
        <f t="shared" si="10"/>
        <v>4933567</v>
      </c>
      <c r="P29" s="168">
        <f t="shared" si="10"/>
        <v>0</v>
      </c>
      <c r="Q29" s="168">
        <f t="shared" si="10"/>
        <v>0</v>
      </c>
      <c r="R29" s="168">
        <f t="shared" si="10"/>
        <v>0</v>
      </c>
      <c r="S29" s="168">
        <f t="shared" si="10"/>
        <v>0</v>
      </c>
      <c r="T29" s="168">
        <f t="shared" si="10"/>
        <v>0</v>
      </c>
      <c r="U29" s="168">
        <f t="shared" si="10"/>
        <v>0</v>
      </c>
      <c r="V29" s="168">
        <f t="shared" si="10"/>
        <v>6731000</v>
      </c>
      <c r="W29" s="168">
        <f t="shared" si="10"/>
        <v>6731000</v>
      </c>
      <c r="X29" s="168">
        <f t="shared" si="10"/>
        <v>1147554</v>
      </c>
      <c r="Y29" s="168">
        <f t="shared" si="10"/>
        <v>0</v>
      </c>
      <c r="Z29" s="168">
        <f t="shared" si="10"/>
        <v>0</v>
      </c>
      <c r="AA29" s="168">
        <f t="shared" si="10"/>
        <v>0</v>
      </c>
      <c r="AB29" s="168">
        <f t="shared" si="10"/>
        <v>0</v>
      </c>
      <c r="AC29" s="168">
        <f t="shared" si="10"/>
        <v>0</v>
      </c>
      <c r="AD29" s="168">
        <f t="shared" si="10"/>
        <v>0</v>
      </c>
      <c r="AE29" s="168">
        <f t="shared" si="10"/>
        <v>0</v>
      </c>
      <c r="AF29" s="168">
        <f t="shared" si="10"/>
        <v>0</v>
      </c>
      <c r="AG29" s="168">
        <f t="shared" si="10"/>
        <v>0</v>
      </c>
      <c r="AH29" s="168">
        <f t="shared" si="10"/>
        <v>0</v>
      </c>
      <c r="AI29" s="168">
        <f t="shared" si="10"/>
        <v>0</v>
      </c>
      <c r="AJ29" s="168">
        <f t="shared" si="10"/>
        <v>0</v>
      </c>
      <c r="AK29" s="168">
        <f t="shared" si="10"/>
        <v>0</v>
      </c>
      <c r="AL29" s="168">
        <f t="shared" si="10"/>
        <v>0</v>
      </c>
      <c r="AM29" s="168">
        <f t="shared" si="10"/>
        <v>0</v>
      </c>
      <c r="AN29" s="168">
        <f t="shared" si="10"/>
        <v>44037500</v>
      </c>
      <c r="AO29" s="168">
        <f t="shared" si="10"/>
        <v>66814432</v>
      </c>
      <c r="AP29" s="168">
        <f t="shared" si="10"/>
        <v>34253893</v>
      </c>
      <c r="AQ29" s="80">
        <f t="shared" si="2"/>
        <v>28970602</v>
      </c>
      <c r="AS29" s="80">
        <f t="shared" si="3"/>
        <v>5283291</v>
      </c>
      <c r="AT29" s="80">
        <f t="shared" si="4"/>
        <v>0</v>
      </c>
    </row>
    <row r="30" spans="1:46" s="34" customFormat="1" ht="21.75" customHeight="1" x14ac:dyDescent="0.25">
      <c r="A30" s="25" t="s">
        <v>262</v>
      </c>
      <c r="B30" s="33" t="s">
        <v>328</v>
      </c>
      <c r="C30" s="128" t="s">
        <v>31</v>
      </c>
      <c r="D30" s="168">
        <f>SUM(D28:D29)</f>
        <v>0</v>
      </c>
      <c r="E30" s="168">
        <f t="shared" ref="E30:AP30" si="11">SUM(E28:E29)</f>
        <v>34588794</v>
      </c>
      <c r="F30" s="168">
        <f t="shared" si="11"/>
        <v>34588794</v>
      </c>
      <c r="G30" s="168">
        <f t="shared" si="11"/>
        <v>630283747</v>
      </c>
      <c r="H30" s="168">
        <f t="shared" si="11"/>
        <v>681445974</v>
      </c>
      <c r="I30" s="168">
        <f t="shared" si="11"/>
        <v>605269137</v>
      </c>
      <c r="J30" s="168">
        <f t="shared" si="11"/>
        <v>97688857</v>
      </c>
      <c r="K30" s="168">
        <f t="shared" si="11"/>
        <v>101855479</v>
      </c>
      <c r="L30" s="168">
        <f t="shared" si="11"/>
        <v>82643265</v>
      </c>
      <c r="M30" s="168">
        <f t="shared" si="11"/>
        <v>28269320</v>
      </c>
      <c r="N30" s="168">
        <f t="shared" si="11"/>
        <v>35302492</v>
      </c>
      <c r="O30" s="168">
        <f t="shared" si="11"/>
        <v>31080856</v>
      </c>
      <c r="P30" s="168">
        <f t="shared" si="11"/>
        <v>0</v>
      </c>
      <c r="Q30" s="168">
        <f t="shared" si="11"/>
        <v>0</v>
      </c>
      <c r="R30" s="168">
        <f t="shared" si="11"/>
        <v>0</v>
      </c>
      <c r="S30" s="168">
        <f t="shared" si="11"/>
        <v>0</v>
      </c>
      <c r="T30" s="168">
        <f t="shared" si="11"/>
        <v>0</v>
      </c>
      <c r="U30" s="168">
        <f t="shared" si="11"/>
        <v>0</v>
      </c>
      <c r="V30" s="168">
        <f t="shared" si="11"/>
        <v>135943008</v>
      </c>
      <c r="W30" s="168">
        <f t="shared" si="11"/>
        <v>142399838</v>
      </c>
      <c r="X30" s="168">
        <f t="shared" si="11"/>
        <v>103112608</v>
      </c>
      <c r="Y30" s="168">
        <f t="shared" si="11"/>
        <v>0</v>
      </c>
      <c r="Z30" s="168">
        <f t="shared" si="11"/>
        <v>0</v>
      </c>
      <c r="AA30" s="168">
        <f t="shared" si="11"/>
        <v>0</v>
      </c>
      <c r="AB30" s="168">
        <f t="shared" si="11"/>
        <v>1000000</v>
      </c>
      <c r="AC30" s="168">
        <f t="shared" si="11"/>
        <v>19907521</v>
      </c>
      <c r="AD30" s="168">
        <f t="shared" si="11"/>
        <v>0</v>
      </c>
      <c r="AE30" s="168">
        <f t="shared" si="11"/>
        <v>1000000</v>
      </c>
      <c r="AF30" s="168">
        <f t="shared" si="11"/>
        <v>12041374</v>
      </c>
      <c r="AG30" s="168">
        <f t="shared" si="11"/>
        <v>12023169</v>
      </c>
      <c r="AH30" s="168">
        <f t="shared" si="11"/>
        <v>1000000</v>
      </c>
      <c r="AI30" s="168">
        <f t="shared" si="11"/>
        <v>0</v>
      </c>
      <c r="AJ30" s="168">
        <f t="shared" si="11"/>
        <v>0</v>
      </c>
      <c r="AK30" s="168">
        <f t="shared" si="11"/>
        <v>2420132</v>
      </c>
      <c r="AL30" s="168">
        <f t="shared" si="11"/>
        <v>2308176</v>
      </c>
      <c r="AM30" s="168">
        <f t="shared" si="11"/>
        <v>1585647</v>
      </c>
      <c r="AN30" s="168">
        <f t="shared" si="11"/>
        <v>897605064</v>
      </c>
      <c r="AO30" s="168">
        <f t="shared" si="11"/>
        <v>1029849648</v>
      </c>
      <c r="AP30" s="168">
        <f t="shared" si="11"/>
        <v>870303476</v>
      </c>
      <c r="AQ30" s="80">
        <f t="shared" si="2"/>
        <v>744556186</v>
      </c>
      <c r="AS30" s="80">
        <f t="shared" si="3"/>
        <v>125747290</v>
      </c>
      <c r="AT30" s="80">
        <f t="shared" si="4"/>
        <v>0</v>
      </c>
    </row>
    <row r="31" spans="1:46" ht="21.75" customHeight="1" x14ac:dyDescent="0.25">
      <c r="A31" s="25" t="s">
        <v>263</v>
      </c>
      <c r="B31" s="27" t="s">
        <v>52</v>
      </c>
      <c r="C31" s="31" t="s">
        <v>212</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v>18907521</v>
      </c>
      <c r="AD31" s="167">
        <v>18907521</v>
      </c>
      <c r="AE31" s="167"/>
      <c r="AF31" s="167">
        <f>6385700+223805</f>
        <v>6609505</v>
      </c>
      <c r="AG31" s="167">
        <v>6609505</v>
      </c>
      <c r="AH31" s="167"/>
      <c r="AI31" s="167"/>
      <c r="AJ31" s="167"/>
      <c r="AK31" s="167"/>
      <c r="AL31" s="167"/>
      <c r="AM31" s="167"/>
      <c r="AN31" s="167">
        <f t="shared" si="0"/>
        <v>0</v>
      </c>
      <c r="AO31" s="167">
        <f t="shared" si="1"/>
        <v>25517026</v>
      </c>
      <c r="AP31" s="167">
        <f t="shared" si="1"/>
        <v>25517026</v>
      </c>
      <c r="AQ31" s="80">
        <f t="shared" si="2"/>
        <v>0</v>
      </c>
      <c r="AS31" s="80">
        <f t="shared" si="3"/>
        <v>25517026</v>
      </c>
      <c r="AT31" s="80">
        <f t="shared" si="4"/>
        <v>0</v>
      </c>
    </row>
    <row r="32" spans="1:46" ht="21.75" customHeight="1" x14ac:dyDescent="0.25">
      <c r="A32" s="25" t="s">
        <v>264</v>
      </c>
      <c r="B32" s="27" t="s">
        <v>223</v>
      </c>
      <c r="C32" s="31" t="s">
        <v>213</v>
      </c>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f t="shared" si="0"/>
        <v>0</v>
      </c>
      <c r="AO32" s="167">
        <f t="shared" si="1"/>
        <v>0</v>
      </c>
      <c r="AP32" s="167">
        <f t="shared" si="1"/>
        <v>0</v>
      </c>
      <c r="AQ32" s="80">
        <f t="shared" si="2"/>
        <v>0</v>
      </c>
      <c r="AS32" s="80">
        <f t="shared" si="3"/>
        <v>0</v>
      </c>
      <c r="AT32" s="80">
        <f t="shared" si="4"/>
        <v>0</v>
      </c>
    </row>
    <row r="33" spans="1:46" ht="21.75" customHeight="1" x14ac:dyDescent="0.25">
      <c r="A33" s="25" t="s">
        <v>265</v>
      </c>
      <c r="B33" s="27" t="s">
        <v>222</v>
      </c>
      <c r="C33" s="31" t="s">
        <v>214</v>
      </c>
      <c r="D33" s="167"/>
      <c r="E33" s="167"/>
      <c r="F33" s="167"/>
      <c r="G33" s="167"/>
      <c r="H33" s="167">
        <v>10000</v>
      </c>
      <c r="I33" s="167">
        <v>10000</v>
      </c>
      <c r="J33" s="167"/>
      <c r="K33" s="167">
        <v>90000</v>
      </c>
      <c r="L33" s="167">
        <v>90000</v>
      </c>
      <c r="M33" s="169">
        <v>4000000</v>
      </c>
      <c r="N33" s="169">
        <v>4030000</v>
      </c>
      <c r="O33" s="169">
        <v>4030000</v>
      </c>
      <c r="P33" s="169"/>
      <c r="Q33" s="169"/>
      <c r="R33" s="169"/>
      <c r="S33" s="169"/>
      <c r="T33" s="169"/>
      <c r="U33" s="169"/>
      <c r="V33" s="169"/>
      <c r="W33" s="169"/>
      <c r="X33" s="169"/>
      <c r="Y33" s="167"/>
      <c r="Z33" s="167"/>
      <c r="AA33" s="167"/>
      <c r="AB33" s="167"/>
      <c r="AC33" s="167"/>
      <c r="AD33" s="167"/>
      <c r="AE33" s="167"/>
      <c r="AF33" s="167"/>
      <c r="AG33" s="167"/>
      <c r="AH33" s="167"/>
      <c r="AI33" s="167"/>
      <c r="AJ33" s="167"/>
      <c r="AK33" s="167"/>
      <c r="AL33" s="167"/>
      <c r="AM33" s="167"/>
      <c r="AN33" s="167">
        <f t="shared" si="0"/>
        <v>4000000</v>
      </c>
      <c r="AO33" s="167">
        <f t="shared" si="1"/>
        <v>4130000</v>
      </c>
      <c r="AP33" s="167">
        <f t="shared" si="1"/>
        <v>4130000</v>
      </c>
      <c r="AQ33" s="80">
        <f t="shared" si="2"/>
        <v>10000</v>
      </c>
      <c r="AS33" s="80">
        <f t="shared" si="3"/>
        <v>4120000</v>
      </c>
      <c r="AT33" s="80">
        <f t="shared" si="4"/>
        <v>0</v>
      </c>
    </row>
    <row r="34" spans="1:46" ht="21.75" customHeight="1" x14ac:dyDescent="0.25">
      <c r="A34" s="25" t="s">
        <v>266</v>
      </c>
      <c r="B34" s="28" t="s">
        <v>0</v>
      </c>
      <c r="C34" s="31" t="s">
        <v>215</v>
      </c>
      <c r="D34" s="167"/>
      <c r="E34" s="167"/>
      <c r="F34" s="167"/>
      <c r="G34" s="167">
        <v>100</v>
      </c>
      <c r="H34" s="167">
        <v>164365</v>
      </c>
      <c r="I34" s="167">
        <v>164365</v>
      </c>
      <c r="J34" s="167"/>
      <c r="K34" s="167">
        <v>8622</v>
      </c>
      <c r="L34" s="167">
        <v>8622</v>
      </c>
      <c r="M34" s="167"/>
      <c r="N34" s="167">
        <v>2156</v>
      </c>
      <c r="O34" s="167">
        <v>2156</v>
      </c>
      <c r="P34" s="167"/>
      <c r="Q34" s="167"/>
      <c r="R34" s="167"/>
      <c r="S34" s="167"/>
      <c r="T34" s="167"/>
      <c r="U34" s="167"/>
      <c r="V34" s="167"/>
      <c r="W34" s="167">
        <v>210980</v>
      </c>
      <c r="X34" s="167">
        <v>210980</v>
      </c>
      <c r="Y34" s="167"/>
      <c r="Z34" s="167"/>
      <c r="AA34" s="167"/>
      <c r="AB34" s="167"/>
      <c r="AC34" s="167"/>
      <c r="AD34" s="167"/>
      <c r="AE34" s="167"/>
      <c r="AF34" s="167"/>
      <c r="AG34" s="167"/>
      <c r="AH34" s="167"/>
      <c r="AI34" s="167"/>
      <c r="AJ34" s="167"/>
      <c r="AK34" s="167">
        <v>2286000</v>
      </c>
      <c r="AL34" s="167">
        <v>2174044</v>
      </c>
      <c r="AM34" s="167">
        <v>2174044</v>
      </c>
      <c r="AN34" s="167">
        <f t="shared" si="0"/>
        <v>2286100</v>
      </c>
      <c r="AO34" s="167">
        <f t="shared" si="1"/>
        <v>2560167</v>
      </c>
      <c r="AP34" s="167">
        <f t="shared" si="1"/>
        <v>2560167</v>
      </c>
      <c r="AQ34" s="80">
        <f t="shared" si="2"/>
        <v>2549389</v>
      </c>
      <c r="AS34" s="80">
        <f t="shared" si="3"/>
        <v>10778</v>
      </c>
      <c r="AT34" s="80">
        <f t="shared" si="4"/>
        <v>0</v>
      </c>
    </row>
    <row r="35" spans="1:46" ht="21.75" customHeight="1" x14ac:dyDescent="0.25">
      <c r="A35" s="25" t="s">
        <v>267</v>
      </c>
      <c r="B35" s="27" t="s">
        <v>245</v>
      </c>
      <c r="C35" s="31" t="s">
        <v>216</v>
      </c>
      <c r="D35" s="167"/>
      <c r="E35" s="167"/>
      <c r="F35" s="167"/>
      <c r="G35" s="167"/>
      <c r="H35" s="167">
        <v>30000</v>
      </c>
      <c r="I35" s="167">
        <v>30000</v>
      </c>
      <c r="J35" s="167"/>
      <c r="K35" s="167"/>
      <c r="L35" s="167"/>
      <c r="M35" s="167"/>
      <c r="N35" s="167"/>
      <c r="O35" s="167"/>
      <c r="P35" s="167"/>
      <c r="Q35" s="167"/>
      <c r="R35" s="167"/>
      <c r="S35" s="167"/>
      <c r="T35" s="167"/>
      <c r="U35" s="167"/>
      <c r="V35" s="167"/>
      <c r="W35" s="167">
        <v>75000</v>
      </c>
      <c r="X35" s="167">
        <v>75000</v>
      </c>
      <c r="Y35" s="167"/>
      <c r="Z35" s="167"/>
      <c r="AA35" s="167"/>
      <c r="AB35" s="167"/>
      <c r="AC35" s="167"/>
      <c r="AD35" s="167"/>
      <c r="AE35" s="167"/>
      <c r="AF35" s="167"/>
      <c r="AG35" s="167"/>
      <c r="AH35" s="167"/>
      <c r="AI35" s="167"/>
      <c r="AJ35" s="167"/>
      <c r="AK35" s="167"/>
      <c r="AL35" s="167"/>
      <c r="AM35" s="167"/>
      <c r="AN35" s="167">
        <f t="shared" si="0"/>
        <v>0</v>
      </c>
      <c r="AO35" s="167">
        <f t="shared" si="1"/>
        <v>105000</v>
      </c>
      <c r="AP35" s="167">
        <f t="shared" si="1"/>
        <v>105000</v>
      </c>
      <c r="AQ35" s="80">
        <f t="shared" si="2"/>
        <v>105000</v>
      </c>
      <c r="AS35" s="80">
        <f t="shared" si="3"/>
        <v>0</v>
      </c>
      <c r="AT35" s="80">
        <f t="shared" si="4"/>
        <v>0</v>
      </c>
    </row>
    <row r="36" spans="1:46" ht="21.75" customHeight="1" x14ac:dyDescent="0.25">
      <c r="A36" s="25" t="s">
        <v>268</v>
      </c>
      <c r="B36" s="27" t="s">
        <v>240</v>
      </c>
      <c r="C36" s="31" t="s">
        <v>217</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f t="shared" si="0"/>
        <v>0</v>
      </c>
      <c r="AO36" s="167">
        <f t="shared" si="1"/>
        <v>0</v>
      </c>
      <c r="AP36" s="167">
        <f t="shared" si="1"/>
        <v>0</v>
      </c>
      <c r="AQ36" s="80">
        <f t="shared" si="2"/>
        <v>0</v>
      </c>
      <c r="AS36" s="80">
        <f t="shared" si="3"/>
        <v>0</v>
      </c>
      <c r="AT36" s="80">
        <f t="shared" si="4"/>
        <v>0</v>
      </c>
    </row>
    <row r="37" spans="1:46" ht="21.75" customHeight="1" x14ac:dyDescent="0.25">
      <c r="A37" s="25" t="s">
        <v>269</v>
      </c>
      <c r="B37" s="27" t="s">
        <v>241</v>
      </c>
      <c r="C37" s="31" t="s">
        <v>218</v>
      </c>
      <c r="D37" s="167"/>
      <c r="E37" s="167"/>
      <c r="F37" s="167"/>
      <c r="G37" s="169">
        <v>5088400</v>
      </c>
      <c r="H37" s="169">
        <v>7052000</v>
      </c>
      <c r="I37" s="169">
        <v>6918700</v>
      </c>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f t="shared" si="0"/>
        <v>5088400</v>
      </c>
      <c r="AO37" s="167">
        <f t="shared" si="1"/>
        <v>7052000</v>
      </c>
      <c r="AP37" s="167">
        <f t="shared" si="1"/>
        <v>6918700</v>
      </c>
      <c r="AQ37" s="80">
        <f t="shared" si="2"/>
        <v>6918700</v>
      </c>
      <c r="AS37" s="80">
        <f t="shared" si="3"/>
        <v>0</v>
      </c>
      <c r="AT37" s="80">
        <f t="shared" si="4"/>
        <v>0</v>
      </c>
    </row>
    <row r="38" spans="1:46" s="118" customFormat="1" ht="21.75" customHeight="1" x14ac:dyDescent="0.25">
      <c r="A38" s="25" t="s">
        <v>270</v>
      </c>
      <c r="B38" s="28" t="s">
        <v>242</v>
      </c>
      <c r="C38" s="31" t="s">
        <v>219</v>
      </c>
      <c r="D38" s="167">
        <f>+D31+D32+D33+D34+D35+D36+D37</f>
        <v>0</v>
      </c>
      <c r="E38" s="167">
        <f>+E31+E32+E33+E34+E35+E36+E37</f>
        <v>0</v>
      </c>
      <c r="F38" s="167">
        <f t="shared" ref="F38:AP38" si="12">+F31+F32+F33+F34+F35+F36+F37</f>
        <v>0</v>
      </c>
      <c r="G38" s="167">
        <f t="shared" si="12"/>
        <v>5088500</v>
      </c>
      <c r="H38" s="167">
        <f>+H31+H32+H33+H34+H35+H36+H37</f>
        <v>7256365</v>
      </c>
      <c r="I38" s="167">
        <f t="shared" si="12"/>
        <v>7123065</v>
      </c>
      <c r="J38" s="167">
        <f t="shared" si="12"/>
        <v>0</v>
      </c>
      <c r="K38" s="167">
        <f t="shared" si="12"/>
        <v>98622</v>
      </c>
      <c r="L38" s="167">
        <f t="shared" si="12"/>
        <v>98622</v>
      </c>
      <c r="M38" s="167">
        <f t="shared" si="12"/>
        <v>4000000</v>
      </c>
      <c r="N38" s="167">
        <f t="shared" si="12"/>
        <v>4032156</v>
      </c>
      <c r="O38" s="167">
        <f t="shared" si="12"/>
        <v>4032156</v>
      </c>
      <c r="P38" s="167">
        <f t="shared" si="12"/>
        <v>0</v>
      </c>
      <c r="Q38" s="167">
        <f t="shared" si="12"/>
        <v>0</v>
      </c>
      <c r="R38" s="167">
        <f t="shared" si="12"/>
        <v>0</v>
      </c>
      <c r="S38" s="167">
        <f t="shared" si="12"/>
        <v>0</v>
      </c>
      <c r="T38" s="167">
        <f t="shared" si="12"/>
        <v>0</v>
      </c>
      <c r="U38" s="167">
        <f t="shared" si="12"/>
        <v>0</v>
      </c>
      <c r="V38" s="167">
        <f t="shared" si="12"/>
        <v>0</v>
      </c>
      <c r="W38" s="167">
        <f t="shared" si="12"/>
        <v>285980</v>
      </c>
      <c r="X38" s="167">
        <f t="shared" si="12"/>
        <v>285980</v>
      </c>
      <c r="Y38" s="167">
        <f t="shared" si="12"/>
        <v>0</v>
      </c>
      <c r="Z38" s="167">
        <f t="shared" si="12"/>
        <v>0</v>
      </c>
      <c r="AA38" s="167">
        <f t="shared" si="12"/>
        <v>0</v>
      </c>
      <c r="AB38" s="167">
        <f t="shared" si="12"/>
        <v>0</v>
      </c>
      <c r="AC38" s="167">
        <f t="shared" si="12"/>
        <v>18907521</v>
      </c>
      <c r="AD38" s="167">
        <v>18907521</v>
      </c>
      <c r="AE38" s="167">
        <f t="shared" si="12"/>
        <v>0</v>
      </c>
      <c r="AF38" s="167">
        <f t="shared" si="12"/>
        <v>6609505</v>
      </c>
      <c r="AG38" s="167">
        <f t="shared" si="12"/>
        <v>6609505</v>
      </c>
      <c r="AH38" s="167">
        <f t="shared" si="12"/>
        <v>0</v>
      </c>
      <c r="AI38" s="167">
        <f t="shared" si="12"/>
        <v>0</v>
      </c>
      <c r="AJ38" s="167">
        <f t="shared" si="12"/>
        <v>0</v>
      </c>
      <c r="AK38" s="167">
        <f t="shared" si="12"/>
        <v>2286000</v>
      </c>
      <c r="AL38" s="167">
        <f t="shared" si="12"/>
        <v>2174044</v>
      </c>
      <c r="AM38" s="167">
        <f t="shared" si="12"/>
        <v>2174044</v>
      </c>
      <c r="AN38" s="168">
        <f t="shared" si="12"/>
        <v>11374500</v>
      </c>
      <c r="AO38" s="168">
        <f t="shared" si="12"/>
        <v>39364193</v>
      </c>
      <c r="AP38" s="168">
        <f t="shared" si="12"/>
        <v>39230893</v>
      </c>
      <c r="AQ38" s="80">
        <f t="shared" si="2"/>
        <v>9583089</v>
      </c>
      <c r="AS38" s="80">
        <f t="shared" si="3"/>
        <v>29647804</v>
      </c>
      <c r="AT38" s="80">
        <f t="shared" si="4"/>
        <v>0</v>
      </c>
    </row>
    <row r="39" spans="1:46" ht="21.75" customHeight="1" x14ac:dyDescent="0.25">
      <c r="A39" s="25" t="s">
        <v>271</v>
      </c>
      <c r="B39" s="31" t="s">
        <v>243</v>
      </c>
      <c r="C39" s="128" t="s">
        <v>221</v>
      </c>
      <c r="D39" s="167">
        <f>SUM(D41:D45)</f>
        <v>886230564</v>
      </c>
      <c r="E39" s="167">
        <f>SUM(E41:E45)</f>
        <v>990485455</v>
      </c>
      <c r="F39" s="167">
        <f>SUM(F41:F45)</f>
        <v>869910439</v>
      </c>
      <c r="G39" s="167">
        <f t="shared" ref="G39:AP39" si="13">SUM(G41:G45)</f>
        <v>0</v>
      </c>
      <c r="H39" s="167">
        <f t="shared" si="13"/>
        <v>0</v>
      </c>
      <c r="I39" s="167">
        <f t="shared" si="13"/>
        <v>0</v>
      </c>
      <c r="J39" s="167">
        <f t="shared" si="13"/>
        <v>0</v>
      </c>
      <c r="K39" s="167">
        <f t="shared" si="13"/>
        <v>0</v>
      </c>
      <c r="L39" s="167">
        <f t="shared" si="13"/>
        <v>0</v>
      </c>
      <c r="M39" s="167">
        <f t="shared" si="13"/>
        <v>0</v>
      </c>
      <c r="N39" s="167">
        <f t="shared" si="13"/>
        <v>0</v>
      </c>
      <c r="O39" s="167">
        <f t="shared" si="13"/>
        <v>0</v>
      </c>
      <c r="P39" s="167">
        <f t="shared" si="13"/>
        <v>0</v>
      </c>
      <c r="Q39" s="167">
        <f t="shared" si="13"/>
        <v>0</v>
      </c>
      <c r="R39" s="167">
        <f t="shared" si="13"/>
        <v>0</v>
      </c>
      <c r="S39" s="167">
        <f t="shared" si="13"/>
        <v>0</v>
      </c>
      <c r="T39" s="167">
        <f t="shared" si="13"/>
        <v>0</v>
      </c>
      <c r="U39" s="167">
        <f t="shared" si="13"/>
        <v>0</v>
      </c>
      <c r="V39" s="167">
        <f t="shared" si="13"/>
        <v>0</v>
      </c>
      <c r="W39" s="167">
        <f t="shared" si="13"/>
        <v>0</v>
      </c>
      <c r="X39" s="167">
        <f t="shared" si="13"/>
        <v>0</v>
      </c>
      <c r="Y39" s="167">
        <f t="shared" si="13"/>
        <v>0</v>
      </c>
      <c r="Z39" s="167">
        <f t="shared" si="13"/>
        <v>0</v>
      </c>
      <c r="AA39" s="167">
        <f t="shared" si="13"/>
        <v>0</v>
      </c>
      <c r="AB39" s="167">
        <f t="shared" si="13"/>
        <v>0</v>
      </c>
      <c r="AC39" s="167">
        <f t="shared" si="13"/>
        <v>0</v>
      </c>
      <c r="AD39" s="167">
        <f t="shared" si="13"/>
        <v>0</v>
      </c>
      <c r="AE39" s="167">
        <f t="shared" si="13"/>
        <v>0</v>
      </c>
      <c r="AF39" s="167">
        <f t="shared" si="13"/>
        <v>0</v>
      </c>
      <c r="AG39" s="167">
        <f t="shared" si="13"/>
        <v>0</v>
      </c>
      <c r="AH39" s="167">
        <f t="shared" si="13"/>
        <v>0</v>
      </c>
      <c r="AI39" s="167">
        <f t="shared" si="13"/>
        <v>0</v>
      </c>
      <c r="AJ39" s="167">
        <f t="shared" si="13"/>
        <v>0</v>
      </c>
      <c r="AK39" s="167">
        <f t="shared" si="13"/>
        <v>0</v>
      </c>
      <c r="AL39" s="167">
        <f t="shared" si="13"/>
        <v>0</v>
      </c>
      <c r="AM39" s="167">
        <f t="shared" si="13"/>
        <v>0</v>
      </c>
      <c r="AN39" s="167">
        <f t="shared" si="13"/>
        <v>886230564</v>
      </c>
      <c r="AO39" s="167">
        <f t="shared" si="13"/>
        <v>990485455</v>
      </c>
      <c r="AP39" s="167">
        <f t="shared" si="13"/>
        <v>869910439</v>
      </c>
      <c r="AQ39" s="80">
        <f t="shared" si="2"/>
        <v>869910439</v>
      </c>
      <c r="AS39" s="80">
        <f t="shared" si="3"/>
        <v>0</v>
      </c>
      <c r="AT39" s="80">
        <f t="shared" si="4"/>
        <v>0</v>
      </c>
    </row>
    <row r="40" spans="1:46" ht="21.75" customHeight="1" x14ac:dyDescent="0.25">
      <c r="A40" s="25" t="s">
        <v>272</v>
      </c>
      <c r="B40" s="90" t="s">
        <v>533</v>
      </c>
      <c r="C40" s="128"/>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f t="shared" si="0"/>
        <v>0</v>
      </c>
      <c r="AO40" s="167">
        <f t="shared" si="1"/>
        <v>0</v>
      </c>
      <c r="AP40" s="167">
        <f t="shared" si="1"/>
        <v>0</v>
      </c>
      <c r="AQ40" s="80">
        <f t="shared" si="2"/>
        <v>0</v>
      </c>
      <c r="AS40" s="80">
        <f t="shared" si="3"/>
        <v>0</v>
      </c>
      <c r="AT40" s="80">
        <f t="shared" si="4"/>
        <v>0</v>
      </c>
    </row>
    <row r="41" spans="1:46" ht="21.75" customHeight="1" x14ac:dyDescent="0.25">
      <c r="A41" s="25" t="s">
        <v>273</v>
      </c>
      <c r="B41" s="32" t="s">
        <v>768</v>
      </c>
      <c r="C41" s="129"/>
      <c r="D41" s="167">
        <f>884945+3201142</f>
        <v>4086087</v>
      </c>
      <c r="E41" s="167">
        <f>884945+3201142+34588794</f>
        <v>38674881</v>
      </c>
      <c r="F41" s="167">
        <v>38674881</v>
      </c>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f t="shared" si="0"/>
        <v>4086087</v>
      </c>
      <c r="AO41" s="167">
        <f t="shared" si="1"/>
        <v>38674881</v>
      </c>
      <c r="AP41" s="167">
        <f t="shared" si="1"/>
        <v>38674881</v>
      </c>
      <c r="AQ41" s="80">
        <f t="shared" si="2"/>
        <v>38674881</v>
      </c>
      <c r="AS41" s="80">
        <f t="shared" si="3"/>
        <v>0</v>
      </c>
      <c r="AT41" s="80">
        <f t="shared" si="4"/>
        <v>0</v>
      </c>
    </row>
    <row r="42" spans="1:46" ht="21.75" customHeight="1" x14ac:dyDescent="0.25">
      <c r="A42" s="25" t="s">
        <v>277</v>
      </c>
      <c r="B42" s="32" t="s">
        <v>769</v>
      </c>
      <c r="C42" s="129"/>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f t="shared" si="0"/>
        <v>0</v>
      </c>
      <c r="AO42" s="167">
        <f t="shared" si="1"/>
        <v>0</v>
      </c>
      <c r="AP42" s="167">
        <f t="shared" si="1"/>
        <v>0</v>
      </c>
      <c r="AQ42" s="80">
        <f t="shared" si="2"/>
        <v>0</v>
      </c>
      <c r="AS42" s="80">
        <f t="shared" si="3"/>
        <v>0</v>
      </c>
      <c r="AT42" s="80">
        <f t="shared" si="4"/>
        <v>0</v>
      </c>
    </row>
    <row r="43" spans="1:46" ht="21.75" customHeight="1" x14ac:dyDescent="0.25">
      <c r="A43" s="25" t="s">
        <v>278</v>
      </c>
      <c r="B43" s="32" t="s">
        <v>506</v>
      </c>
      <c r="C43" s="129"/>
      <c r="D43" s="167">
        <f>AN28-AN31-AN33-AN34-AN36-AN41</f>
        <v>843195377</v>
      </c>
      <c r="E43" s="167">
        <f>AO28-AO31-AO33-AO34-AO36-AO41</f>
        <v>892153142</v>
      </c>
      <c r="F43" s="167">
        <f>831235558-F44</f>
        <v>771578126</v>
      </c>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f t="shared" si="0"/>
        <v>843195377</v>
      </c>
      <c r="AO43" s="167">
        <f t="shared" si="1"/>
        <v>892153142</v>
      </c>
      <c r="AP43" s="167">
        <f t="shared" si="1"/>
        <v>771578126</v>
      </c>
      <c r="AQ43" s="80">
        <f t="shared" si="2"/>
        <v>771578126</v>
      </c>
      <c r="AS43" s="80">
        <f t="shared" si="3"/>
        <v>0</v>
      </c>
      <c r="AT43" s="80">
        <f t="shared" si="4"/>
        <v>0</v>
      </c>
    </row>
    <row r="44" spans="1:46" ht="21.75" customHeight="1" x14ac:dyDescent="0.25">
      <c r="A44" s="25" t="s">
        <v>279</v>
      </c>
      <c r="B44" s="32" t="s">
        <v>507</v>
      </c>
      <c r="C44" s="129"/>
      <c r="D44" s="167">
        <f>AN29-AN32-AN35-AN37-AN42</f>
        <v>38949100</v>
      </c>
      <c r="E44" s="167">
        <f>AO29-AO32-AO35-AO37-AO42</f>
        <v>59657432</v>
      </c>
      <c r="F44" s="167">
        <v>59657432</v>
      </c>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f t="shared" si="0"/>
        <v>38949100</v>
      </c>
      <c r="AO44" s="167">
        <f t="shared" si="1"/>
        <v>59657432</v>
      </c>
      <c r="AP44" s="167">
        <f t="shared" si="1"/>
        <v>59657432</v>
      </c>
      <c r="AQ44" s="80">
        <f t="shared" si="2"/>
        <v>59657432</v>
      </c>
      <c r="AS44" s="80">
        <f t="shared" si="3"/>
        <v>0</v>
      </c>
      <c r="AT44" s="80">
        <f t="shared" si="4"/>
        <v>0</v>
      </c>
    </row>
    <row r="45" spans="1:46" ht="21.75" customHeight="1" x14ac:dyDescent="0.25">
      <c r="A45" s="25" t="s">
        <v>280</v>
      </c>
      <c r="B45" s="32" t="s">
        <v>542</v>
      </c>
      <c r="C45" s="129"/>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f t="shared" si="0"/>
        <v>0</v>
      </c>
      <c r="AO45" s="167">
        <f t="shared" si="1"/>
        <v>0</v>
      </c>
      <c r="AP45" s="167">
        <f t="shared" si="1"/>
        <v>0</v>
      </c>
      <c r="AQ45" s="80">
        <f t="shared" si="2"/>
        <v>0</v>
      </c>
      <c r="AS45" s="80">
        <f t="shared" si="3"/>
        <v>0</v>
      </c>
      <c r="AT45" s="80">
        <f t="shared" si="4"/>
        <v>0</v>
      </c>
    </row>
    <row r="46" spans="1:46" ht="21.75" customHeight="1" x14ac:dyDescent="0.25">
      <c r="A46" s="25" t="s">
        <v>281</v>
      </c>
      <c r="B46" s="222" t="s">
        <v>741</v>
      </c>
      <c r="C46" s="129"/>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f t="shared" si="0"/>
        <v>0</v>
      </c>
      <c r="AO46" s="167">
        <f t="shared" si="1"/>
        <v>0</v>
      </c>
      <c r="AP46" s="167">
        <f t="shared" si="1"/>
        <v>0</v>
      </c>
      <c r="AQ46" s="80">
        <f t="shared" si="2"/>
        <v>0</v>
      </c>
      <c r="AS46" s="80">
        <f t="shared" si="3"/>
        <v>0</v>
      </c>
      <c r="AT46" s="80">
        <f t="shared" si="4"/>
        <v>0</v>
      </c>
    </row>
    <row r="47" spans="1:46" ht="21.75" customHeight="1" x14ac:dyDescent="0.25">
      <c r="A47" s="25" t="s">
        <v>282</v>
      </c>
      <c r="B47" s="33" t="s">
        <v>109</v>
      </c>
      <c r="C47" s="128"/>
      <c r="D47" s="168">
        <f>+D31+D33+D34+D36+D41+D43</f>
        <v>847281464</v>
      </c>
      <c r="E47" s="168">
        <f>+E31+E33+E34+E36+E41+E43</f>
        <v>930828023</v>
      </c>
      <c r="F47" s="168">
        <f t="shared" ref="F47:AP47" si="14">+F31+F33+F34+F36+F41+F43</f>
        <v>810253007</v>
      </c>
      <c r="G47" s="168">
        <f t="shared" si="14"/>
        <v>100</v>
      </c>
      <c r="H47" s="168">
        <f t="shared" si="14"/>
        <v>174365</v>
      </c>
      <c r="I47" s="168">
        <f t="shared" si="14"/>
        <v>174365</v>
      </c>
      <c r="J47" s="168">
        <f t="shared" si="14"/>
        <v>0</v>
      </c>
      <c r="K47" s="168">
        <f t="shared" si="14"/>
        <v>98622</v>
      </c>
      <c r="L47" s="168">
        <f t="shared" si="14"/>
        <v>98622</v>
      </c>
      <c r="M47" s="168">
        <f t="shared" si="14"/>
        <v>4000000</v>
      </c>
      <c r="N47" s="168">
        <f t="shared" si="14"/>
        <v>4032156</v>
      </c>
      <c r="O47" s="168">
        <f t="shared" si="14"/>
        <v>4032156</v>
      </c>
      <c r="P47" s="168">
        <f t="shared" si="14"/>
        <v>0</v>
      </c>
      <c r="Q47" s="168">
        <f t="shared" si="14"/>
        <v>0</v>
      </c>
      <c r="R47" s="168">
        <f t="shared" si="14"/>
        <v>0</v>
      </c>
      <c r="S47" s="168">
        <f t="shared" si="14"/>
        <v>0</v>
      </c>
      <c r="T47" s="168">
        <f t="shared" si="14"/>
        <v>0</v>
      </c>
      <c r="U47" s="168">
        <f t="shared" si="14"/>
        <v>0</v>
      </c>
      <c r="V47" s="168">
        <f t="shared" si="14"/>
        <v>0</v>
      </c>
      <c r="W47" s="168">
        <f t="shared" si="14"/>
        <v>210980</v>
      </c>
      <c r="X47" s="168">
        <f t="shared" si="14"/>
        <v>210980</v>
      </c>
      <c r="Y47" s="168">
        <f t="shared" si="14"/>
        <v>0</v>
      </c>
      <c r="Z47" s="168">
        <f t="shared" si="14"/>
        <v>0</v>
      </c>
      <c r="AA47" s="168">
        <f t="shared" si="14"/>
        <v>0</v>
      </c>
      <c r="AB47" s="168">
        <f t="shared" si="14"/>
        <v>0</v>
      </c>
      <c r="AC47" s="168">
        <f t="shared" si="14"/>
        <v>18907521</v>
      </c>
      <c r="AD47" s="168">
        <f t="shared" si="14"/>
        <v>18907521</v>
      </c>
      <c r="AE47" s="168">
        <f t="shared" si="14"/>
        <v>0</v>
      </c>
      <c r="AF47" s="168">
        <f t="shared" si="14"/>
        <v>6609505</v>
      </c>
      <c r="AG47" s="168">
        <f t="shared" si="14"/>
        <v>6609505</v>
      </c>
      <c r="AH47" s="168">
        <f t="shared" si="14"/>
        <v>0</v>
      </c>
      <c r="AI47" s="168">
        <f t="shared" si="14"/>
        <v>0</v>
      </c>
      <c r="AJ47" s="168">
        <f t="shared" si="14"/>
        <v>0</v>
      </c>
      <c r="AK47" s="168">
        <f t="shared" si="14"/>
        <v>2286000</v>
      </c>
      <c r="AL47" s="168">
        <f t="shared" si="14"/>
        <v>2174044</v>
      </c>
      <c r="AM47" s="168">
        <f t="shared" si="14"/>
        <v>2174044</v>
      </c>
      <c r="AN47" s="168">
        <f t="shared" si="14"/>
        <v>853567564</v>
      </c>
      <c r="AO47" s="168">
        <f t="shared" si="14"/>
        <v>963035216</v>
      </c>
      <c r="AP47" s="168">
        <f t="shared" si="14"/>
        <v>842460200</v>
      </c>
      <c r="AQ47" s="80">
        <f t="shared" si="2"/>
        <v>812812396</v>
      </c>
      <c r="AS47" s="80">
        <f t="shared" si="3"/>
        <v>29647804</v>
      </c>
      <c r="AT47" s="80">
        <f t="shared" si="4"/>
        <v>0</v>
      </c>
    </row>
    <row r="48" spans="1:46" ht="21.75" customHeight="1" x14ac:dyDescent="0.25">
      <c r="A48" s="25" t="s">
        <v>283</v>
      </c>
      <c r="B48" s="33" t="s">
        <v>110</v>
      </c>
      <c r="C48" s="128"/>
      <c r="D48" s="168">
        <f>+D32+D35+D37+D42+D429+D45+D44</f>
        <v>38949100</v>
      </c>
      <c r="E48" s="168">
        <f>+E32+E35+E37+E42+E429+E45+E44</f>
        <v>59657432</v>
      </c>
      <c r="F48" s="168">
        <f t="shared" ref="F48:AP48" si="15">+F32+F35+F37+F42+F429+F45+F44</f>
        <v>59657432</v>
      </c>
      <c r="G48" s="168">
        <f t="shared" si="15"/>
        <v>5088400</v>
      </c>
      <c r="H48" s="168">
        <f t="shared" si="15"/>
        <v>7082000</v>
      </c>
      <c r="I48" s="168">
        <f t="shared" si="15"/>
        <v>6948700</v>
      </c>
      <c r="J48" s="168">
        <f t="shared" si="15"/>
        <v>0</v>
      </c>
      <c r="K48" s="168">
        <f t="shared" si="15"/>
        <v>0</v>
      </c>
      <c r="L48" s="168">
        <f t="shared" si="15"/>
        <v>0</v>
      </c>
      <c r="M48" s="168">
        <f t="shared" si="15"/>
        <v>0</v>
      </c>
      <c r="N48" s="168">
        <f t="shared" si="15"/>
        <v>0</v>
      </c>
      <c r="O48" s="168">
        <f t="shared" si="15"/>
        <v>0</v>
      </c>
      <c r="P48" s="168">
        <f t="shared" si="15"/>
        <v>0</v>
      </c>
      <c r="Q48" s="168">
        <f t="shared" si="15"/>
        <v>0</v>
      </c>
      <c r="R48" s="168">
        <f t="shared" si="15"/>
        <v>0</v>
      </c>
      <c r="S48" s="168">
        <f t="shared" si="15"/>
        <v>0</v>
      </c>
      <c r="T48" s="168">
        <f t="shared" si="15"/>
        <v>0</v>
      </c>
      <c r="U48" s="168">
        <f t="shared" si="15"/>
        <v>0</v>
      </c>
      <c r="V48" s="168">
        <f t="shared" si="15"/>
        <v>0</v>
      </c>
      <c r="W48" s="168">
        <f t="shared" si="15"/>
        <v>75000</v>
      </c>
      <c r="X48" s="168">
        <f t="shared" si="15"/>
        <v>75000</v>
      </c>
      <c r="Y48" s="168">
        <f t="shared" si="15"/>
        <v>0</v>
      </c>
      <c r="Z48" s="168">
        <f t="shared" si="15"/>
        <v>0</v>
      </c>
      <c r="AA48" s="168">
        <f t="shared" si="15"/>
        <v>0</v>
      </c>
      <c r="AB48" s="168">
        <f t="shared" si="15"/>
        <v>0</v>
      </c>
      <c r="AC48" s="168">
        <f t="shared" si="15"/>
        <v>0</v>
      </c>
      <c r="AD48" s="168">
        <f t="shared" si="15"/>
        <v>0</v>
      </c>
      <c r="AE48" s="168">
        <f t="shared" si="15"/>
        <v>0</v>
      </c>
      <c r="AF48" s="168">
        <f t="shared" si="15"/>
        <v>0</v>
      </c>
      <c r="AG48" s="168">
        <f t="shared" si="15"/>
        <v>0</v>
      </c>
      <c r="AH48" s="168">
        <f t="shared" si="15"/>
        <v>0</v>
      </c>
      <c r="AI48" s="168">
        <f t="shared" si="15"/>
        <v>0</v>
      </c>
      <c r="AJ48" s="168">
        <f t="shared" si="15"/>
        <v>0</v>
      </c>
      <c r="AK48" s="168">
        <f t="shared" si="15"/>
        <v>0</v>
      </c>
      <c r="AL48" s="168">
        <f t="shared" si="15"/>
        <v>0</v>
      </c>
      <c r="AM48" s="168">
        <f t="shared" si="15"/>
        <v>0</v>
      </c>
      <c r="AN48" s="168">
        <f t="shared" si="15"/>
        <v>44037500</v>
      </c>
      <c r="AO48" s="168">
        <f t="shared" si="15"/>
        <v>66814432</v>
      </c>
      <c r="AP48" s="168">
        <f t="shared" si="15"/>
        <v>66681132</v>
      </c>
      <c r="AQ48" s="80">
        <f t="shared" si="2"/>
        <v>66681132</v>
      </c>
      <c r="AS48" s="80">
        <f t="shared" si="3"/>
        <v>0</v>
      </c>
      <c r="AT48" s="80">
        <f t="shared" si="4"/>
        <v>0</v>
      </c>
    </row>
    <row r="49" spans="1:46" ht="21.75" customHeight="1" x14ac:dyDescent="0.25">
      <c r="A49" s="25" t="s">
        <v>284</v>
      </c>
      <c r="B49" s="33" t="s">
        <v>329</v>
      </c>
      <c r="C49" s="128"/>
      <c r="D49" s="168">
        <f>+D47+D48</f>
        <v>886230564</v>
      </c>
      <c r="E49" s="168">
        <f>+E47+E48</f>
        <v>990485455</v>
      </c>
      <c r="F49" s="168">
        <f t="shared" ref="F49:AP49" si="16">+F47+F48</f>
        <v>869910439</v>
      </c>
      <c r="G49" s="168">
        <f t="shared" si="16"/>
        <v>5088500</v>
      </c>
      <c r="H49" s="168">
        <f t="shared" si="16"/>
        <v>7256365</v>
      </c>
      <c r="I49" s="168">
        <f t="shared" si="16"/>
        <v>7123065</v>
      </c>
      <c r="J49" s="168">
        <f t="shared" si="16"/>
        <v>0</v>
      </c>
      <c r="K49" s="168">
        <f t="shared" si="16"/>
        <v>98622</v>
      </c>
      <c r="L49" s="168">
        <f t="shared" si="16"/>
        <v>98622</v>
      </c>
      <c r="M49" s="168">
        <f t="shared" si="16"/>
        <v>4000000</v>
      </c>
      <c r="N49" s="168">
        <f t="shared" si="16"/>
        <v>4032156</v>
      </c>
      <c r="O49" s="168">
        <f t="shared" si="16"/>
        <v>4032156</v>
      </c>
      <c r="P49" s="168">
        <f t="shared" si="16"/>
        <v>0</v>
      </c>
      <c r="Q49" s="168">
        <f t="shared" si="16"/>
        <v>0</v>
      </c>
      <c r="R49" s="168">
        <f t="shared" si="16"/>
        <v>0</v>
      </c>
      <c r="S49" s="168">
        <f t="shared" si="16"/>
        <v>0</v>
      </c>
      <c r="T49" s="168">
        <f t="shared" si="16"/>
        <v>0</v>
      </c>
      <c r="U49" s="168">
        <f t="shared" si="16"/>
        <v>0</v>
      </c>
      <c r="V49" s="168">
        <f t="shared" si="16"/>
        <v>0</v>
      </c>
      <c r="W49" s="168">
        <f t="shared" si="16"/>
        <v>285980</v>
      </c>
      <c r="X49" s="168">
        <f t="shared" si="16"/>
        <v>285980</v>
      </c>
      <c r="Y49" s="168">
        <f t="shared" si="16"/>
        <v>0</v>
      </c>
      <c r="Z49" s="168">
        <f t="shared" si="16"/>
        <v>0</v>
      </c>
      <c r="AA49" s="168">
        <f t="shared" si="16"/>
        <v>0</v>
      </c>
      <c r="AB49" s="168">
        <f t="shared" si="16"/>
        <v>0</v>
      </c>
      <c r="AC49" s="168">
        <f t="shared" si="16"/>
        <v>18907521</v>
      </c>
      <c r="AD49" s="168">
        <f t="shared" si="16"/>
        <v>18907521</v>
      </c>
      <c r="AE49" s="168">
        <f t="shared" si="16"/>
        <v>0</v>
      </c>
      <c r="AF49" s="168">
        <f t="shared" si="16"/>
        <v>6609505</v>
      </c>
      <c r="AG49" s="168">
        <f t="shared" si="16"/>
        <v>6609505</v>
      </c>
      <c r="AH49" s="168">
        <f t="shared" si="16"/>
        <v>0</v>
      </c>
      <c r="AI49" s="168">
        <f t="shared" si="16"/>
        <v>0</v>
      </c>
      <c r="AJ49" s="168">
        <f t="shared" si="16"/>
        <v>0</v>
      </c>
      <c r="AK49" s="168">
        <f t="shared" si="16"/>
        <v>2286000</v>
      </c>
      <c r="AL49" s="168">
        <f t="shared" si="16"/>
        <v>2174044</v>
      </c>
      <c r="AM49" s="168">
        <f t="shared" si="16"/>
        <v>2174044</v>
      </c>
      <c r="AN49" s="168">
        <f t="shared" si="16"/>
        <v>897605064</v>
      </c>
      <c r="AO49" s="168">
        <f t="shared" si="16"/>
        <v>1029849648</v>
      </c>
      <c r="AP49" s="168">
        <f t="shared" si="16"/>
        <v>909141332</v>
      </c>
      <c r="AQ49" s="80">
        <f t="shared" si="2"/>
        <v>879493528</v>
      </c>
      <c r="AS49" s="80">
        <f t="shared" si="3"/>
        <v>29647804</v>
      </c>
      <c r="AT49" s="80">
        <f t="shared" si="4"/>
        <v>0</v>
      </c>
    </row>
    <row r="50" spans="1:46" s="764" customFormat="1" ht="21.75" customHeight="1" x14ac:dyDescent="0.25">
      <c r="A50" s="761" t="s">
        <v>285</v>
      </c>
      <c r="B50" s="787" t="s">
        <v>2075</v>
      </c>
      <c r="C50" s="762"/>
      <c r="D50" s="763"/>
      <c r="E50" s="763"/>
      <c r="F50" s="763"/>
      <c r="G50" s="763">
        <v>49</v>
      </c>
      <c r="H50" s="763">
        <v>49</v>
      </c>
      <c r="I50" s="763">
        <v>42.8</v>
      </c>
      <c r="J50" s="763">
        <v>7</v>
      </c>
      <c r="K50" s="763">
        <v>7</v>
      </c>
      <c r="L50" s="763">
        <v>6.8</v>
      </c>
      <c r="M50" s="763">
        <v>2</v>
      </c>
      <c r="N50" s="763">
        <v>2</v>
      </c>
      <c r="O50" s="763">
        <v>2</v>
      </c>
      <c r="P50" s="763"/>
      <c r="Q50" s="763"/>
      <c r="R50" s="763"/>
      <c r="S50" s="763"/>
      <c r="T50" s="763"/>
      <c r="U50" s="763"/>
      <c r="V50" s="763">
        <v>13</v>
      </c>
      <c r="W50" s="763">
        <v>13</v>
      </c>
      <c r="X50" s="763">
        <v>10.4</v>
      </c>
      <c r="Y50" s="763"/>
      <c r="Z50" s="763"/>
      <c r="AA50" s="763"/>
      <c r="AB50" s="763"/>
      <c r="AC50" s="763"/>
      <c r="AD50" s="763"/>
      <c r="AE50" s="763"/>
      <c r="AF50" s="763"/>
      <c r="AG50" s="763"/>
      <c r="AH50" s="763"/>
      <c r="AI50" s="763"/>
      <c r="AJ50" s="763"/>
      <c r="AK50" s="763"/>
      <c r="AL50" s="763"/>
      <c r="AM50" s="763"/>
      <c r="AN50" s="763">
        <f t="shared" si="0"/>
        <v>71</v>
      </c>
      <c r="AO50" s="763">
        <f t="shared" si="1"/>
        <v>71</v>
      </c>
      <c r="AP50" s="763">
        <f t="shared" si="1"/>
        <v>61.999999999999993</v>
      </c>
      <c r="AQ50" s="764">
        <f t="shared" si="2"/>
        <v>53.199999999999996</v>
      </c>
      <c r="AS50" s="764">
        <f t="shared" si="3"/>
        <v>8.8000000000000007</v>
      </c>
      <c r="AT50" s="764">
        <f t="shared" si="4"/>
        <v>0</v>
      </c>
    </row>
    <row r="51" spans="1:46" ht="21.75" customHeight="1" x14ac:dyDescent="0.25">
      <c r="A51" s="25" t="s">
        <v>286</v>
      </c>
      <c r="B51" s="46" t="s">
        <v>964</v>
      </c>
      <c r="C51" s="170"/>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67">
        <f t="shared" si="0"/>
        <v>0</v>
      </c>
      <c r="AO51" s="167">
        <f t="shared" si="1"/>
        <v>0</v>
      </c>
      <c r="AP51" s="167">
        <f t="shared" si="1"/>
        <v>0</v>
      </c>
      <c r="AQ51" s="80">
        <f t="shared" si="2"/>
        <v>0</v>
      </c>
      <c r="AS51" s="80">
        <f t="shared" si="3"/>
        <v>0</v>
      </c>
      <c r="AT51" s="80">
        <f t="shared" si="4"/>
        <v>0</v>
      </c>
    </row>
  </sheetData>
  <mergeCells count="49">
    <mergeCell ref="AK5:AM5"/>
    <mergeCell ref="D6:F7"/>
    <mergeCell ref="G6:I7"/>
    <mergeCell ref="J6:L7"/>
    <mergeCell ref="M6:O7"/>
    <mergeCell ref="P6:R7"/>
    <mergeCell ref="S6:U7"/>
    <mergeCell ref="V6:X7"/>
    <mergeCell ref="Y6:AA7"/>
    <mergeCell ref="AB6:AD7"/>
    <mergeCell ref="AE6:AG7"/>
    <mergeCell ref="AH6:AJ7"/>
    <mergeCell ref="AK6:AM7"/>
    <mergeCell ref="V5:X5"/>
    <mergeCell ref="Y5:AA5"/>
    <mergeCell ref="AB5:AD5"/>
    <mergeCell ref="AE5:AG5"/>
    <mergeCell ref="AH5:AJ5"/>
    <mergeCell ref="G5:I5"/>
    <mergeCell ref="J5:L5"/>
    <mergeCell ref="M5:O5"/>
    <mergeCell ref="P5:R5"/>
    <mergeCell ref="S5:U5"/>
    <mergeCell ref="D2:I2"/>
    <mergeCell ref="J2:O2"/>
    <mergeCell ref="P2:U2"/>
    <mergeCell ref="V2:AA2"/>
    <mergeCell ref="AB2:AG2"/>
    <mergeCell ref="AN2:AP2"/>
    <mergeCell ref="AH2:AM2"/>
    <mergeCell ref="D4:F4"/>
    <mergeCell ref="G4:I4"/>
    <mergeCell ref="J4:L4"/>
    <mergeCell ref="M4:O4"/>
    <mergeCell ref="P4:R4"/>
    <mergeCell ref="S4:U4"/>
    <mergeCell ref="V4:X4"/>
    <mergeCell ref="Y4:AA4"/>
    <mergeCell ref="AB4:AD4"/>
    <mergeCell ref="AE4:AG4"/>
    <mergeCell ref="AH4:AJ4"/>
    <mergeCell ref="AK4:AM4"/>
    <mergeCell ref="AN4:AP7"/>
    <mergeCell ref="D5:F5"/>
    <mergeCell ref="A2:C3"/>
    <mergeCell ref="A4:A7"/>
    <mergeCell ref="B4:C4"/>
    <mergeCell ref="B5:C5"/>
    <mergeCell ref="B6:C6"/>
  </mergeCells>
  <phoneticPr fontId="44" type="noConversion"/>
  <printOptions horizontalCentered="1" verticalCentered="1"/>
  <pageMargins left="0.39370078740157483" right="0.35433070866141736" top="0.19685039370078741" bottom="0.19685039370078741" header="0.51181102362204722" footer="0.51181102362204722"/>
  <pageSetup paperSize="9" scale="50" orientation="portrait" r:id="rId1"/>
  <headerFooter alignWithMargins="0">
    <oddHeader>&amp;C2022. évi zárszámadás&amp;R&amp;A</oddHeader>
    <oddFooter>&amp;C&amp;P/&amp;N</oddFooter>
  </headerFooter>
  <colBreaks count="6" manualBreakCount="6">
    <brk id="9" max="50" man="1"/>
    <brk id="15" max="50" man="1"/>
    <brk id="21" max="50" man="1"/>
    <brk id="27" max="50" man="1"/>
    <brk id="33" max="50" man="1"/>
    <brk id="39" max="5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sheetPr>
  <dimension ref="A1:AE51"/>
  <sheetViews>
    <sheetView view="pageBreakPreview" zoomScale="58" zoomScaleNormal="71" zoomScaleSheetLayoutView="58" workbookViewId="0">
      <pane xSplit="3" ySplit="8" topLeftCell="L39" activePane="bottomRight" state="frozen"/>
      <selection activeCell="Y17" sqref="Y17"/>
      <selection pane="topRight" activeCell="Y17" sqref="Y17"/>
      <selection pane="bottomLeft" activeCell="Y17" sqref="Y17"/>
      <selection pane="bottomRight" activeCell="AI50" sqref="AI50"/>
    </sheetView>
  </sheetViews>
  <sheetFormatPr defaultColWidth="9.140625" defaultRowHeight="12.75" x14ac:dyDescent="0.2"/>
  <cols>
    <col min="1" max="1" width="7.140625" style="19" customWidth="1"/>
    <col min="2" max="2" width="68.42578125" style="19" customWidth="1"/>
    <col min="3" max="3" width="7.42578125" style="127" customWidth="1"/>
    <col min="4" max="4" width="19.7109375" style="20" bestFit="1" customWidth="1"/>
    <col min="5" max="5" width="23.42578125" style="20" bestFit="1" customWidth="1"/>
    <col min="6" max="6" width="18.42578125" style="20" bestFit="1" customWidth="1"/>
    <col min="7" max="7" width="17.85546875" style="20" bestFit="1" customWidth="1"/>
    <col min="8" max="8" width="23.42578125" style="20" bestFit="1" customWidth="1"/>
    <col min="9" max="9" width="18.42578125" style="20" bestFit="1" customWidth="1"/>
    <col min="10" max="10" width="16.140625" style="20" customWidth="1"/>
    <col min="11" max="11" width="17" style="20" customWidth="1"/>
    <col min="12" max="12" width="17.28515625" style="20" bestFit="1" customWidth="1"/>
    <col min="13" max="13" width="15.28515625" style="20" customWidth="1"/>
    <col min="14" max="14" width="18.42578125" style="20" customWidth="1"/>
    <col min="15" max="15" width="16.28515625" style="20" bestFit="1" customWidth="1"/>
    <col min="16" max="16" width="16.42578125" style="20" customWidth="1"/>
    <col min="17" max="17" width="18.42578125" style="20" customWidth="1"/>
    <col min="18" max="18" width="16.85546875" style="20" customWidth="1"/>
    <col min="19" max="19" width="16.5703125" style="20" customWidth="1"/>
    <col min="20" max="20" width="17.5703125" style="20" customWidth="1"/>
    <col min="21" max="21" width="15.140625" style="20" customWidth="1"/>
    <col min="22" max="22" width="17.7109375" style="20" customWidth="1"/>
    <col min="23" max="23" width="17.85546875" style="20" customWidth="1"/>
    <col min="24" max="25" width="16.42578125" style="20" customWidth="1"/>
    <col min="26" max="26" width="17.7109375" style="20" customWidth="1"/>
    <col min="27" max="27" width="15.7109375" style="20" customWidth="1"/>
    <col min="28" max="28" width="18.5703125" style="20" customWidth="1"/>
    <col min="29" max="29" width="21" style="19" customWidth="1"/>
    <col min="30" max="30" width="21.140625" style="19" customWidth="1"/>
    <col min="31" max="31" width="11.7109375" style="19" bestFit="1" customWidth="1"/>
    <col min="32" max="16384" width="9.140625" style="19"/>
  </cols>
  <sheetData>
    <row r="1" spans="1:31" ht="15.75" x14ac:dyDescent="0.25">
      <c r="I1" s="166" t="s">
        <v>415</v>
      </c>
      <c r="O1" s="166" t="s">
        <v>415</v>
      </c>
      <c r="U1" s="166" t="s">
        <v>415</v>
      </c>
      <c r="AA1" s="166" t="s">
        <v>415</v>
      </c>
      <c r="AD1" s="166" t="s">
        <v>415</v>
      </c>
    </row>
    <row r="2" spans="1:31" ht="29.25" customHeight="1" x14ac:dyDescent="0.25">
      <c r="A2" s="372"/>
      <c r="B2" s="373"/>
      <c r="C2" s="374"/>
      <c r="D2" s="1036" t="s">
        <v>1962</v>
      </c>
      <c r="E2" s="1037"/>
      <c r="F2" s="1037"/>
      <c r="G2" s="1037"/>
      <c r="H2" s="1037"/>
      <c r="I2" s="1038"/>
      <c r="J2" s="1036" t="s">
        <v>1962</v>
      </c>
      <c r="K2" s="1037"/>
      <c r="L2" s="1037"/>
      <c r="M2" s="1037"/>
      <c r="N2" s="1037"/>
      <c r="O2" s="1038"/>
      <c r="P2" s="1036" t="s">
        <v>1962</v>
      </c>
      <c r="Q2" s="1037"/>
      <c r="R2" s="1037"/>
      <c r="S2" s="1037"/>
      <c r="T2" s="1037"/>
      <c r="U2" s="1038"/>
      <c r="V2" s="1036" t="s">
        <v>1962</v>
      </c>
      <c r="W2" s="1037"/>
      <c r="X2" s="1037"/>
      <c r="Y2" s="1037"/>
      <c r="Z2" s="1037"/>
      <c r="AA2" s="1038"/>
      <c r="AB2" s="1036" t="s">
        <v>1962</v>
      </c>
      <c r="AC2" s="1037"/>
      <c r="AD2" s="1038"/>
    </row>
    <row r="3" spans="1:31" ht="36.75" customHeight="1" x14ac:dyDescent="0.2">
      <c r="A3" s="1028" t="s">
        <v>133</v>
      </c>
      <c r="B3" s="1029"/>
      <c r="C3" s="1030"/>
      <c r="D3" s="644" t="s">
        <v>274</v>
      </c>
      <c r="E3" s="644" t="s">
        <v>1074</v>
      </c>
      <c r="F3" s="644" t="s">
        <v>1546</v>
      </c>
      <c r="G3" s="644" t="s">
        <v>274</v>
      </c>
      <c r="H3" s="644" t="s">
        <v>1074</v>
      </c>
      <c r="I3" s="644" t="s">
        <v>1546</v>
      </c>
      <c r="J3" s="644" t="s">
        <v>274</v>
      </c>
      <c r="K3" s="644" t="s">
        <v>1074</v>
      </c>
      <c r="L3" s="644" t="s">
        <v>1546</v>
      </c>
      <c r="M3" s="644" t="s">
        <v>274</v>
      </c>
      <c r="N3" s="644" t="s">
        <v>1074</v>
      </c>
      <c r="O3" s="644" t="s">
        <v>1546</v>
      </c>
      <c r="P3" s="644" t="s">
        <v>274</v>
      </c>
      <c r="Q3" s="644" t="s">
        <v>1074</v>
      </c>
      <c r="R3" s="644" t="s">
        <v>1546</v>
      </c>
      <c r="S3" s="644" t="s">
        <v>274</v>
      </c>
      <c r="T3" s="644" t="s">
        <v>1074</v>
      </c>
      <c r="U3" s="644" t="s">
        <v>1546</v>
      </c>
      <c r="V3" s="644" t="s">
        <v>274</v>
      </c>
      <c r="W3" s="644" t="s">
        <v>1074</v>
      </c>
      <c r="X3" s="644" t="s">
        <v>1546</v>
      </c>
      <c r="Y3" s="644" t="s">
        <v>274</v>
      </c>
      <c r="Z3" s="644" t="s">
        <v>1074</v>
      </c>
      <c r="AA3" s="644" t="s">
        <v>1546</v>
      </c>
      <c r="AB3" s="644" t="s">
        <v>274</v>
      </c>
      <c r="AC3" s="644" t="s">
        <v>1074</v>
      </c>
      <c r="AD3" s="644" t="s">
        <v>1546</v>
      </c>
    </row>
    <row r="4" spans="1:31" ht="104.25" customHeight="1" x14ac:dyDescent="0.2">
      <c r="A4" s="1034" t="s">
        <v>189</v>
      </c>
      <c r="B4" s="1035" t="s">
        <v>247</v>
      </c>
      <c r="C4" s="1035"/>
      <c r="D4" s="1039" t="s">
        <v>1740</v>
      </c>
      <c r="E4" s="1040"/>
      <c r="F4" s="1041"/>
      <c r="G4" s="1039" t="s">
        <v>1969</v>
      </c>
      <c r="H4" s="1040" t="s">
        <v>336</v>
      </c>
      <c r="I4" s="1041"/>
      <c r="J4" s="1039" t="s">
        <v>1968</v>
      </c>
      <c r="K4" s="1040" t="s">
        <v>337</v>
      </c>
      <c r="L4" s="1041"/>
      <c r="M4" s="1039" t="s">
        <v>1967</v>
      </c>
      <c r="N4" s="1040" t="s">
        <v>336</v>
      </c>
      <c r="O4" s="1041"/>
      <c r="P4" s="1039" t="s">
        <v>1967</v>
      </c>
      <c r="Q4" s="1040" t="s">
        <v>336</v>
      </c>
      <c r="R4" s="1041"/>
      <c r="S4" s="1039" t="s">
        <v>181</v>
      </c>
      <c r="T4" s="1040" t="s">
        <v>181</v>
      </c>
      <c r="U4" s="1041"/>
      <c r="V4" s="1039" t="s">
        <v>1969</v>
      </c>
      <c r="W4" s="1040" t="s">
        <v>336</v>
      </c>
      <c r="X4" s="1041"/>
      <c r="Y4" s="1039" t="s">
        <v>1967</v>
      </c>
      <c r="Z4" s="1040" t="s">
        <v>336</v>
      </c>
      <c r="AA4" s="1041"/>
      <c r="AB4" s="1042" t="s">
        <v>135</v>
      </c>
      <c r="AC4" s="1043"/>
      <c r="AD4" s="1044"/>
    </row>
    <row r="5" spans="1:31" ht="25.5" customHeight="1" x14ac:dyDescent="0.2">
      <c r="A5" s="1034"/>
      <c r="B5" s="1035" t="s">
        <v>11</v>
      </c>
      <c r="C5" s="1035"/>
      <c r="D5" s="1039" t="s">
        <v>225</v>
      </c>
      <c r="E5" s="1040"/>
      <c r="F5" s="1041"/>
      <c r="G5" s="1039" t="s">
        <v>225</v>
      </c>
      <c r="H5" s="1040" t="s">
        <v>225</v>
      </c>
      <c r="I5" s="1041"/>
      <c r="J5" s="1039" t="s">
        <v>225</v>
      </c>
      <c r="K5" s="1040" t="s">
        <v>225</v>
      </c>
      <c r="L5" s="1041"/>
      <c r="M5" s="1039" t="s">
        <v>225</v>
      </c>
      <c r="N5" s="1040" t="s">
        <v>225</v>
      </c>
      <c r="O5" s="1041"/>
      <c r="P5" s="1039" t="s">
        <v>225</v>
      </c>
      <c r="Q5" s="1040" t="s">
        <v>225</v>
      </c>
      <c r="R5" s="1041"/>
      <c r="S5" s="1039" t="s">
        <v>225</v>
      </c>
      <c r="T5" s="1040" t="s">
        <v>225</v>
      </c>
      <c r="U5" s="1041"/>
      <c r="V5" s="1039" t="s">
        <v>225</v>
      </c>
      <c r="W5" s="1040" t="s">
        <v>225</v>
      </c>
      <c r="X5" s="1041"/>
      <c r="Y5" s="1039" t="s">
        <v>225</v>
      </c>
      <c r="Z5" s="1040" t="s">
        <v>225</v>
      </c>
      <c r="AA5" s="1041"/>
      <c r="AB5" s="1045"/>
      <c r="AC5" s="1046"/>
      <c r="AD5" s="1047"/>
    </row>
    <row r="6" spans="1:31" ht="15.75" customHeight="1" x14ac:dyDescent="0.2">
      <c r="A6" s="1034"/>
      <c r="B6" s="992" t="s">
        <v>646</v>
      </c>
      <c r="C6" s="992"/>
      <c r="D6" s="1051" t="s">
        <v>1952</v>
      </c>
      <c r="E6" s="1052"/>
      <c r="F6" s="1053"/>
      <c r="G6" s="1051" t="s">
        <v>1963</v>
      </c>
      <c r="H6" s="1052" t="s">
        <v>1149</v>
      </c>
      <c r="I6" s="1053"/>
      <c r="J6" s="1051" t="s">
        <v>1964</v>
      </c>
      <c r="K6" s="1052" t="s">
        <v>1150</v>
      </c>
      <c r="L6" s="1053"/>
      <c r="M6" s="1051" t="s">
        <v>1965</v>
      </c>
      <c r="N6" s="1052" t="s">
        <v>1151</v>
      </c>
      <c r="O6" s="1053"/>
      <c r="P6" s="1051" t="s">
        <v>1966</v>
      </c>
      <c r="Q6" s="1052" t="s">
        <v>1152</v>
      </c>
      <c r="R6" s="1053"/>
      <c r="S6" s="1051" t="s">
        <v>1970</v>
      </c>
      <c r="T6" s="1052" t="s">
        <v>775</v>
      </c>
      <c r="U6" s="1053"/>
      <c r="V6" s="1051" t="s">
        <v>1971</v>
      </c>
      <c r="W6" s="1052" t="s">
        <v>892</v>
      </c>
      <c r="X6" s="1053"/>
      <c r="Y6" s="1051" t="s">
        <v>173</v>
      </c>
      <c r="Z6" s="1052" t="s">
        <v>475</v>
      </c>
      <c r="AA6" s="1053"/>
      <c r="AB6" s="1045"/>
      <c r="AC6" s="1046"/>
      <c r="AD6" s="1047"/>
    </row>
    <row r="7" spans="1:31" ht="116.25" customHeight="1" x14ac:dyDescent="0.2">
      <c r="A7" s="1034"/>
      <c r="B7" s="684" t="s">
        <v>190</v>
      </c>
      <c r="C7" s="126" t="s">
        <v>248</v>
      </c>
      <c r="D7" s="1054"/>
      <c r="E7" s="1055"/>
      <c r="F7" s="1056"/>
      <c r="G7" s="1054"/>
      <c r="H7" s="1055"/>
      <c r="I7" s="1056"/>
      <c r="J7" s="1054"/>
      <c r="K7" s="1055"/>
      <c r="L7" s="1056"/>
      <c r="M7" s="1054"/>
      <c r="N7" s="1055"/>
      <c r="O7" s="1056"/>
      <c r="P7" s="1054"/>
      <c r="Q7" s="1055"/>
      <c r="R7" s="1056"/>
      <c r="S7" s="1054"/>
      <c r="T7" s="1055"/>
      <c r="U7" s="1056"/>
      <c r="V7" s="1054"/>
      <c r="W7" s="1055"/>
      <c r="X7" s="1056"/>
      <c r="Y7" s="1054"/>
      <c r="Z7" s="1055"/>
      <c r="AA7" s="1056"/>
      <c r="AB7" s="1048"/>
      <c r="AC7" s="1049"/>
      <c r="AD7" s="1050"/>
    </row>
    <row r="8" spans="1:31" ht="15.75" x14ac:dyDescent="0.2">
      <c r="A8" s="23" t="s">
        <v>191</v>
      </c>
      <c r="B8" s="24" t="s">
        <v>192</v>
      </c>
      <c r="C8" s="24" t="s">
        <v>193</v>
      </c>
      <c r="D8" s="301" t="s">
        <v>194</v>
      </c>
      <c r="E8" s="24" t="s">
        <v>195</v>
      </c>
      <c r="F8" s="301" t="s">
        <v>196</v>
      </c>
      <c r="G8" s="24" t="s">
        <v>197</v>
      </c>
      <c r="H8" s="301" t="s">
        <v>198</v>
      </c>
      <c r="I8" s="24" t="s">
        <v>199</v>
      </c>
      <c r="J8" s="301" t="s">
        <v>200</v>
      </c>
      <c r="K8" s="24" t="s">
        <v>201</v>
      </c>
      <c r="L8" s="301" t="s">
        <v>228</v>
      </c>
      <c r="M8" s="24" t="s">
        <v>229</v>
      </c>
      <c r="N8" s="301" t="s">
        <v>230</v>
      </c>
      <c r="O8" s="24" t="s">
        <v>231</v>
      </c>
      <c r="P8" s="301" t="s">
        <v>232</v>
      </c>
      <c r="Q8" s="24" t="s">
        <v>233</v>
      </c>
      <c r="R8" s="301" t="s">
        <v>234</v>
      </c>
      <c r="S8" s="24" t="s">
        <v>235</v>
      </c>
      <c r="T8" s="301" t="s">
        <v>236</v>
      </c>
      <c r="U8" s="24" t="s">
        <v>261</v>
      </c>
      <c r="V8" s="301" t="s">
        <v>262</v>
      </c>
      <c r="W8" s="24" t="s">
        <v>263</v>
      </c>
      <c r="X8" s="301" t="s">
        <v>264</v>
      </c>
      <c r="Y8" s="24" t="s">
        <v>265</v>
      </c>
      <c r="Z8" s="301" t="s">
        <v>266</v>
      </c>
      <c r="AA8" s="24" t="s">
        <v>267</v>
      </c>
      <c r="AB8" s="301" t="s">
        <v>268</v>
      </c>
      <c r="AC8" s="24" t="s">
        <v>269</v>
      </c>
      <c r="AD8" s="301" t="s">
        <v>270</v>
      </c>
    </row>
    <row r="9" spans="1:31" ht="21.75" customHeight="1" x14ac:dyDescent="0.25">
      <c r="A9" s="25" t="s">
        <v>191</v>
      </c>
      <c r="B9" s="22" t="s">
        <v>330</v>
      </c>
      <c r="C9" s="128" t="s">
        <v>202</v>
      </c>
      <c r="D9" s="167"/>
      <c r="E9" s="167"/>
      <c r="F9" s="167"/>
      <c r="G9" s="167">
        <v>264996841</v>
      </c>
      <c r="H9" s="167">
        <v>257065639</v>
      </c>
      <c r="I9" s="167">
        <v>227463788</v>
      </c>
      <c r="J9" s="167"/>
      <c r="K9" s="167">
        <v>13106202</v>
      </c>
      <c r="L9" s="167">
        <v>13106202</v>
      </c>
      <c r="M9" s="167"/>
      <c r="N9" s="167">
        <v>176850</v>
      </c>
      <c r="O9" s="167">
        <v>176850</v>
      </c>
      <c r="P9" s="167"/>
      <c r="Q9" s="167"/>
      <c r="R9" s="167"/>
      <c r="S9" s="167"/>
      <c r="T9" s="167"/>
      <c r="U9" s="167"/>
      <c r="V9" s="167"/>
      <c r="W9" s="167"/>
      <c r="X9" s="167"/>
      <c r="Y9" s="167"/>
      <c r="Z9" s="167"/>
      <c r="AA9" s="167"/>
      <c r="AB9" s="167">
        <f t="shared" ref="AB9:AB51" si="0">D9+G9+J9+Y9+M9+P9+V9+S9</f>
        <v>264996841</v>
      </c>
      <c r="AC9" s="167">
        <f t="shared" ref="AC9:AD51" si="1">E9+H9+K9+Z9+N9+Q9+W9+T9</f>
        <v>270348691</v>
      </c>
      <c r="AD9" s="167">
        <f t="shared" si="1"/>
        <v>240746840</v>
      </c>
      <c r="AE9" s="80"/>
    </row>
    <row r="10" spans="1:31" ht="21.75" customHeight="1" x14ac:dyDescent="0.25">
      <c r="A10" s="25" t="s">
        <v>192</v>
      </c>
      <c r="B10" s="27" t="s">
        <v>203</v>
      </c>
      <c r="C10" s="128" t="s">
        <v>204</v>
      </c>
      <c r="D10" s="167"/>
      <c r="E10" s="167"/>
      <c r="F10" s="167"/>
      <c r="G10" s="167">
        <f>36357089+4800000</f>
        <v>41157089</v>
      </c>
      <c r="H10" s="167">
        <v>40368787</v>
      </c>
      <c r="I10" s="167">
        <v>36393812</v>
      </c>
      <c r="J10" s="167"/>
      <c r="K10" s="167">
        <v>1461052</v>
      </c>
      <c r="L10" s="167">
        <v>1461052</v>
      </c>
      <c r="M10" s="167"/>
      <c r="N10" s="167"/>
      <c r="O10" s="167"/>
      <c r="P10" s="167"/>
      <c r="Q10" s="167"/>
      <c r="R10" s="167"/>
      <c r="S10" s="167"/>
      <c r="T10" s="167"/>
      <c r="U10" s="167"/>
      <c r="V10" s="167"/>
      <c r="W10" s="167"/>
      <c r="X10" s="167"/>
      <c r="Y10" s="167"/>
      <c r="Z10" s="167"/>
      <c r="AA10" s="167"/>
      <c r="AB10" s="167">
        <f t="shared" si="0"/>
        <v>41157089</v>
      </c>
      <c r="AC10" s="167">
        <f t="shared" si="1"/>
        <v>41829839</v>
      </c>
      <c r="AD10" s="167">
        <f t="shared" si="1"/>
        <v>37854864</v>
      </c>
      <c r="AE10" s="80"/>
    </row>
    <row r="11" spans="1:31" ht="21.75" customHeight="1" x14ac:dyDescent="0.25">
      <c r="A11" s="25" t="s">
        <v>193</v>
      </c>
      <c r="B11" s="27" t="s">
        <v>331</v>
      </c>
      <c r="C11" s="128" t="s">
        <v>205</v>
      </c>
      <c r="D11" s="167">
        <v>141374</v>
      </c>
      <c r="E11" s="167">
        <f>141374-141374</f>
        <v>0</v>
      </c>
      <c r="F11" s="167"/>
      <c r="G11" s="167">
        <f>+(32621120)+22860+404943</f>
        <v>33048923</v>
      </c>
      <c r="H11" s="167">
        <v>46377835</v>
      </c>
      <c r="I11" s="167">
        <v>32803140</v>
      </c>
      <c r="J11" s="167">
        <v>762000</v>
      </c>
      <c r="K11" s="167">
        <v>0</v>
      </c>
      <c r="L11" s="167"/>
      <c r="M11" s="167">
        <v>1016000</v>
      </c>
      <c r="N11" s="167">
        <v>1339150</v>
      </c>
      <c r="O11" s="167">
        <v>1014266</v>
      </c>
      <c r="P11" s="167"/>
      <c r="Q11" s="167">
        <v>850000</v>
      </c>
      <c r="R11" s="167">
        <v>850000</v>
      </c>
      <c r="S11" s="167"/>
      <c r="T11" s="167"/>
      <c r="U11" s="167"/>
      <c r="V11" s="167"/>
      <c r="W11" s="167"/>
      <c r="X11" s="167"/>
      <c r="Y11" s="167"/>
      <c r="Z11" s="167"/>
      <c r="AA11" s="167"/>
      <c r="AB11" s="167">
        <f t="shared" si="0"/>
        <v>34968297</v>
      </c>
      <c r="AC11" s="167">
        <f t="shared" si="1"/>
        <v>48566985</v>
      </c>
      <c r="AD11" s="167">
        <f t="shared" si="1"/>
        <v>34667406</v>
      </c>
      <c r="AE11" s="80"/>
    </row>
    <row r="12" spans="1:31" ht="21.75" customHeight="1" x14ac:dyDescent="0.25">
      <c r="A12" s="25" t="s">
        <v>194</v>
      </c>
      <c r="B12" s="28" t="s">
        <v>332</v>
      </c>
      <c r="C12" s="128" t="s">
        <v>206</v>
      </c>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f t="shared" si="0"/>
        <v>0</v>
      </c>
      <c r="AC12" s="167">
        <f t="shared" si="1"/>
        <v>0</v>
      </c>
      <c r="AD12" s="167">
        <f t="shared" si="1"/>
        <v>0</v>
      </c>
    </row>
    <row r="13" spans="1:31" ht="21.75" customHeight="1" x14ac:dyDescent="0.25">
      <c r="A13" s="25" t="s">
        <v>195</v>
      </c>
      <c r="B13" s="28" t="s">
        <v>237</v>
      </c>
      <c r="C13" s="128" t="s">
        <v>207</v>
      </c>
      <c r="D13" s="167">
        <f t="shared" ref="D13:AD13" si="2">SUM(D14:D16)</f>
        <v>0</v>
      </c>
      <c r="E13" s="167">
        <f t="shared" si="2"/>
        <v>11118964</v>
      </c>
      <c r="F13" s="167">
        <f t="shared" si="2"/>
        <v>11118964</v>
      </c>
      <c r="G13" s="167">
        <f t="shared" si="2"/>
        <v>0</v>
      </c>
      <c r="H13" s="167">
        <f t="shared" si="2"/>
        <v>0</v>
      </c>
      <c r="I13" s="167">
        <f t="shared" si="2"/>
        <v>0</v>
      </c>
      <c r="J13" s="167">
        <f t="shared" si="2"/>
        <v>0</v>
      </c>
      <c r="K13" s="167">
        <f t="shared" si="2"/>
        <v>0</v>
      </c>
      <c r="L13" s="167">
        <f t="shared" si="2"/>
        <v>0</v>
      </c>
      <c r="M13" s="167">
        <f t="shared" si="2"/>
        <v>0</v>
      </c>
      <c r="N13" s="167">
        <f t="shared" si="2"/>
        <v>0</v>
      </c>
      <c r="O13" s="167">
        <f t="shared" si="2"/>
        <v>0</v>
      </c>
      <c r="P13" s="167">
        <f t="shared" si="2"/>
        <v>0</v>
      </c>
      <c r="Q13" s="167">
        <f t="shared" si="2"/>
        <v>0</v>
      </c>
      <c r="R13" s="167">
        <f t="shared" si="2"/>
        <v>0</v>
      </c>
      <c r="S13" s="167">
        <f t="shared" si="2"/>
        <v>0</v>
      </c>
      <c r="T13" s="167">
        <f t="shared" si="2"/>
        <v>0</v>
      </c>
      <c r="U13" s="167">
        <f t="shared" si="2"/>
        <v>0</v>
      </c>
      <c r="V13" s="167">
        <f t="shared" si="2"/>
        <v>0</v>
      </c>
      <c r="W13" s="167">
        <f t="shared" si="2"/>
        <v>0</v>
      </c>
      <c r="X13" s="167">
        <f t="shared" si="2"/>
        <v>0</v>
      </c>
      <c r="Y13" s="167">
        <f t="shared" si="2"/>
        <v>0</v>
      </c>
      <c r="Z13" s="167">
        <f t="shared" si="2"/>
        <v>0</v>
      </c>
      <c r="AA13" s="167">
        <f t="shared" si="2"/>
        <v>0</v>
      </c>
      <c r="AB13" s="167">
        <f t="shared" si="2"/>
        <v>0</v>
      </c>
      <c r="AC13" s="167">
        <f t="shared" si="2"/>
        <v>11118964</v>
      </c>
      <c r="AD13" s="167">
        <f t="shared" si="2"/>
        <v>11118964</v>
      </c>
    </row>
    <row r="14" spans="1:31" ht="21.75" customHeight="1" x14ac:dyDescent="0.25">
      <c r="A14" s="25" t="s">
        <v>196</v>
      </c>
      <c r="B14" s="29" t="s">
        <v>538</v>
      </c>
      <c r="C14" s="128"/>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f t="shared" si="0"/>
        <v>0</v>
      </c>
      <c r="AC14" s="167">
        <f t="shared" si="1"/>
        <v>0</v>
      </c>
      <c r="AD14" s="167">
        <f t="shared" si="1"/>
        <v>0</v>
      </c>
    </row>
    <row r="15" spans="1:31" ht="21.75" customHeight="1" x14ac:dyDescent="0.25">
      <c r="A15" s="25" t="s">
        <v>197</v>
      </c>
      <c r="B15" s="29" t="s">
        <v>540</v>
      </c>
      <c r="C15" s="129"/>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f t="shared" si="0"/>
        <v>0</v>
      </c>
      <c r="AC15" s="167">
        <f t="shared" si="1"/>
        <v>0</v>
      </c>
      <c r="AD15" s="167">
        <f t="shared" si="1"/>
        <v>0</v>
      </c>
    </row>
    <row r="16" spans="1:31" ht="21.75" customHeight="1" x14ac:dyDescent="0.25">
      <c r="A16" s="25" t="s">
        <v>198</v>
      </c>
      <c r="B16" s="88" t="s">
        <v>539</v>
      </c>
      <c r="C16" s="129"/>
      <c r="D16" s="167"/>
      <c r="E16" s="167">
        <v>11118964</v>
      </c>
      <c r="F16" s="167">
        <v>11118964</v>
      </c>
      <c r="G16" s="167"/>
      <c r="H16" s="167"/>
      <c r="I16" s="167"/>
      <c r="J16" s="167"/>
      <c r="K16" s="167"/>
      <c r="L16" s="167"/>
      <c r="M16" s="167"/>
      <c r="N16" s="167"/>
      <c r="O16" s="167"/>
      <c r="P16" s="167"/>
      <c r="Q16" s="167"/>
      <c r="R16" s="167"/>
      <c r="S16" s="167"/>
      <c r="T16" s="167"/>
      <c r="U16" s="167"/>
      <c r="V16" s="167"/>
      <c r="W16" s="167"/>
      <c r="X16" s="167"/>
      <c r="Y16" s="167"/>
      <c r="Z16" s="167"/>
      <c r="AA16" s="167"/>
      <c r="AB16" s="167">
        <f t="shared" si="0"/>
        <v>0</v>
      </c>
      <c r="AC16" s="167">
        <f t="shared" si="1"/>
        <v>11118964</v>
      </c>
      <c r="AD16" s="167">
        <f t="shared" si="1"/>
        <v>11118964</v>
      </c>
    </row>
    <row r="17" spans="1:30" ht="21.75" customHeight="1" x14ac:dyDescent="0.25">
      <c r="A17" s="25" t="s">
        <v>199</v>
      </c>
      <c r="B17" s="31" t="s">
        <v>244</v>
      </c>
      <c r="C17" s="128" t="s">
        <v>208</v>
      </c>
      <c r="D17" s="167"/>
      <c r="E17" s="167"/>
      <c r="F17" s="167"/>
      <c r="G17" s="169">
        <v>1315720</v>
      </c>
      <c r="H17" s="169">
        <v>6120524</v>
      </c>
      <c r="I17" s="169">
        <v>5821608</v>
      </c>
      <c r="J17" s="167">
        <v>127000</v>
      </c>
      <c r="K17" s="167">
        <v>924000</v>
      </c>
      <c r="L17" s="167">
        <v>924000</v>
      </c>
      <c r="M17" s="167"/>
      <c r="N17" s="167"/>
      <c r="O17" s="167"/>
      <c r="P17" s="167"/>
      <c r="Q17" s="167"/>
      <c r="R17" s="167"/>
      <c r="S17" s="167"/>
      <c r="T17" s="167"/>
      <c r="U17" s="167"/>
      <c r="V17" s="167"/>
      <c r="W17" s="167"/>
      <c r="X17" s="167"/>
      <c r="Y17" s="167"/>
      <c r="Z17" s="167"/>
      <c r="AA17" s="167"/>
      <c r="AB17" s="167">
        <f>D17+G17+J17+Y17+M17+P17+V17+S17</f>
        <v>1442720</v>
      </c>
      <c r="AC17" s="167">
        <f t="shared" si="1"/>
        <v>7044524</v>
      </c>
      <c r="AD17" s="167">
        <f t="shared" si="1"/>
        <v>6745608</v>
      </c>
    </row>
    <row r="18" spans="1:30" ht="21.75" customHeight="1" x14ac:dyDescent="0.25">
      <c r="A18" s="25" t="s">
        <v>200</v>
      </c>
      <c r="B18" s="28" t="s">
        <v>333</v>
      </c>
      <c r="C18" s="128" t="s">
        <v>209</v>
      </c>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f t="shared" si="0"/>
        <v>0</v>
      </c>
      <c r="AC18" s="167">
        <f t="shared" si="1"/>
        <v>0</v>
      </c>
      <c r="AD18" s="167">
        <f t="shared" si="1"/>
        <v>0</v>
      </c>
    </row>
    <row r="19" spans="1:30" ht="21.75" customHeight="1" x14ac:dyDescent="0.25">
      <c r="A19" s="25" t="s">
        <v>201</v>
      </c>
      <c r="B19" s="28" t="s">
        <v>238</v>
      </c>
      <c r="C19" s="128" t="s">
        <v>210</v>
      </c>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f t="shared" si="0"/>
        <v>0</v>
      </c>
      <c r="AC19" s="167">
        <f t="shared" si="1"/>
        <v>0</v>
      </c>
      <c r="AD19" s="167">
        <f t="shared" si="1"/>
        <v>0</v>
      </c>
    </row>
    <row r="20" spans="1:30" ht="21.75" customHeight="1" x14ac:dyDescent="0.25">
      <c r="A20" s="25" t="s">
        <v>228</v>
      </c>
      <c r="B20" s="29" t="s">
        <v>541</v>
      </c>
      <c r="C20" s="128"/>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f t="shared" si="0"/>
        <v>0</v>
      </c>
      <c r="AC20" s="167">
        <f t="shared" si="1"/>
        <v>0</v>
      </c>
      <c r="AD20" s="167">
        <f t="shared" si="1"/>
        <v>0</v>
      </c>
    </row>
    <row r="21" spans="1:30" ht="21.75" customHeight="1" x14ac:dyDescent="0.25">
      <c r="A21" s="25" t="s">
        <v>229</v>
      </c>
      <c r="B21" s="31" t="s">
        <v>239</v>
      </c>
      <c r="C21" s="128" t="s">
        <v>211</v>
      </c>
      <c r="D21" s="167">
        <f>+D9+D10+D11+D12+D13+D17+D18+D19</f>
        <v>141374</v>
      </c>
      <c r="E21" s="167">
        <f t="shared" ref="E21:AD21" si="3">+E9+E10+E11+E12+E13+E17+E18+E19</f>
        <v>11118964</v>
      </c>
      <c r="F21" s="167">
        <f t="shared" si="3"/>
        <v>11118964</v>
      </c>
      <c r="G21" s="167">
        <f t="shared" si="3"/>
        <v>340518573</v>
      </c>
      <c r="H21" s="167">
        <f t="shared" si="3"/>
        <v>349932785</v>
      </c>
      <c r="I21" s="167">
        <f t="shared" si="3"/>
        <v>302482348</v>
      </c>
      <c r="J21" s="167">
        <f t="shared" si="3"/>
        <v>889000</v>
      </c>
      <c r="K21" s="167">
        <f t="shared" si="3"/>
        <v>15491254</v>
      </c>
      <c r="L21" s="167">
        <f t="shared" si="3"/>
        <v>15491254</v>
      </c>
      <c r="M21" s="167">
        <f t="shared" si="3"/>
        <v>1016000</v>
      </c>
      <c r="N21" s="167">
        <f t="shared" si="3"/>
        <v>1516000</v>
      </c>
      <c r="O21" s="167">
        <f t="shared" si="3"/>
        <v>1191116</v>
      </c>
      <c r="P21" s="167">
        <f t="shared" si="3"/>
        <v>0</v>
      </c>
      <c r="Q21" s="167">
        <f t="shared" si="3"/>
        <v>850000</v>
      </c>
      <c r="R21" s="167">
        <f t="shared" si="3"/>
        <v>850000</v>
      </c>
      <c r="S21" s="167">
        <f t="shared" si="3"/>
        <v>0</v>
      </c>
      <c r="T21" s="167">
        <f t="shared" si="3"/>
        <v>0</v>
      </c>
      <c r="U21" s="167">
        <f t="shared" si="3"/>
        <v>0</v>
      </c>
      <c r="V21" s="167">
        <f t="shared" si="3"/>
        <v>0</v>
      </c>
      <c r="W21" s="167">
        <f t="shared" si="3"/>
        <v>0</v>
      </c>
      <c r="X21" s="167">
        <f t="shared" si="3"/>
        <v>0</v>
      </c>
      <c r="Y21" s="167">
        <f t="shared" si="3"/>
        <v>0</v>
      </c>
      <c r="Z21" s="167">
        <f t="shared" si="3"/>
        <v>0</v>
      </c>
      <c r="AA21" s="167">
        <f t="shared" si="3"/>
        <v>0</v>
      </c>
      <c r="AB21" s="168">
        <f t="shared" si="3"/>
        <v>342564947</v>
      </c>
      <c r="AC21" s="168">
        <f t="shared" si="3"/>
        <v>378909003</v>
      </c>
      <c r="AD21" s="168">
        <f t="shared" si="3"/>
        <v>331133682</v>
      </c>
    </row>
    <row r="22" spans="1:30" ht="21.75" customHeight="1" x14ac:dyDescent="0.25">
      <c r="A22" s="25" t="s">
        <v>230</v>
      </c>
      <c r="B22" s="31" t="s">
        <v>224</v>
      </c>
      <c r="C22" s="128" t="s">
        <v>220</v>
      </c>
      <c r="D22" s="167">
        <f>SUM(D23:D26)</f>
        <v>0</v>
      </c>
      <c r="E22" s="167">
        <f t="shared" ref="E22:AD22" si="4">SUM(E23:E26)</f>
        <v>0</v>
      </c>
      <c r="F22" s="167">
        <f t="shared" si="4"/>
        <v>0</v>
      </c>
      <c r="G22" s="167">
        <f t="shared" si="4"/>
        <v>0</v>
      </c>
      <c r="H22" s="167">
        <f t="shared" si="4"/>
        <v>0</v>
      </c>
      <c r="I22" s="167">
        <f t="shared" si="4"/>
        <v>0</v>
      </c>
      <c r="J22" s="167">
        <f t="shared" si="4"/>
        <v>0</v>
      </c>
      <c r="K22" s="167">
        <f t="shared" si="4"/>
        <v>0</v>
      </c>
      <c r="L22" s="167">
        <f t="shared" si="4"/>
        <v>0</v>
      </c>
      <c r="M22" s="167">
        <f t="shared" si="4"/>
        <v>0</v>
      </c>
      <c r="N22" s="167">
        <f t="shared" si="4"/>
        <v>0</v>
      </c>
      <c r="O22" s="167">
        <f t="shared" si="4"/>
        <v>0</v>
      </c>
      <c r="P22" s="167">
        <f t="shared" si="4"/>
        <v>0</v>
      </c>
      <c r="Q22" s="167">
        <f t="shared" si="4"/>
        <v>0</v>
      </c>
      <c r="R22" s="167">
        <f t="shared" si="4"/>
        <v>0</v>
      </c>
      <c r="S22" s="167">
        <f t="shared" si="4"/>
        <v>0</v>
      </c>
      <c r="T22" s="167">
        <f t="shared" si="4"/>
        <v>0</v>
      </c>
      <c r="U22" s="167">
        <f t="shared" si="4"/>
        <v>0</v>
      </c>
      <c r="V22" s="167">
        <f t="shared" si="4"/>
        <v>0</v>
      </c>
      <c r="W22" s="167">
        <f t="shared" si="4"/>
        <v>0</v>
      </c>
      <c r="X22" s="167">
        <f t="shared" si="4"/>
        <v>0</v>
      </c>
      <c r="Y22" s="167">
        <f t="shared" si="4"/>
        <v>0</v>
      </c>
      <c r="Z22" s="167">
        <f t="shared" si="4"/>
        <v>0</v>
      </c>
      <c r="AA22" s="167">
        <f t="shared" si="4"/>
        <v>0</v>
      </c>
      <c r="AB22" s="167">
        <f t="shared" si="4"/>
        <v>0</v>
      </c>
      <c r="AC22" s="167">
        <f t="shared" si="4"/>
        <v>0</v>
      </c>
      <c r="AD22" s="167">
        <f t="shared" si="4"/>
        <v>0</v>
      </c>
    </row>
    <row r="23" spans="1:30" ht="21.75" customHeight="1" x14ac:dyDescent="0.25">
      <c r="A23" s="25" t="s">
        <v>231</v>
      </c>
      <c r="B23" s="90" t="s">
        <v>179</v>
      </c>
      <c r="C23" s="129"/>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f t="shared" si="0"/>
        <v>0</v>
      </c>
      <c r="AC23" s="167">
        <f t="shared" si="1"/>
        <v>0</v>
      </c>
      <c r="AD23" s="167">
        <f t="shared" si="1"/>
        <v>0</v>
      </c>
    </row>
    <row r="24" spans="1:30" ht="21.75" customHeight="1" x14ac:dyDescent="0.25">
      <c r="A24" s="25" t="s">
        <v>232</v>
      </c>
      <c r="B24" s="32" t="s">
        <v>520</v>
      </c>
      <c r="C24" s="129"/>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f t="shared" si="0"/>
        <v>0</v>
      </c>
      <c r="AC24" s="167">
        <f t="shared" si="1"/>
        <v>0</v>
      </c>
      <c r="AD24" s="167">
        <f t="shared" si="1"/>
        <v>0</v>
      </c>
    </row>
    <row r="25" spans="1:30" ht="21.75" customHeight="1" x14ac:dyDescent="0.25">
      <c r="A25" s="25" t="s">
        <v>233</v>
      </c>
      <c r="B25" s="32" t="s">
        <v>521</v>
      </c>
      <c r="C25" s="129"/>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f t="shared" si="0"/>
        <v>0</v>
      </c>
      <c r="AC25" s="167">
        <f t="shared" si="1"/>
        <v>0</v>
      </c>
      <c r="AD25" s="167">
        <f t="shared" si="1"/>
        <v>0</v>
      </c>
    </row>
    <row r="26" spans="1:30" ht="21.75" customHeight="1" x14ac:dyDescent="0.25">
      <c r="A26" s="25" t="s">
        <v>234</v>
      </c>
      <c r="B26" s="32" t="s">
        <v>123</v>
      </c>
      <c r="C26" s="129"/>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f t="shared" si="0"/>
        <v>0</v>
      </c>
      <c r="AC26" s="167">
        <f t="shared" si="1"/>
        <v>0</v>
      </c>
      <c r="AD26" s="167">
        <f t="shared" si="1"/>
        <v>0</v>
      </c>
    </row>
    <row r="27" spans="1:30" ht="21.75" customHeight="1" x14ac:dyDescent="0.25">
      <c r="A27" s="25" t="s">
        <v>235</v>
      </c>
      <c r="B27" s="222" t="s">
        <v>742</v>
      </c>
      <c r="C27" s="129"/>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f t="shared" si="0"/>
        <v>0</v>
      </c>
      <c r="AC27" s="167">
        <f t="shared" si="1"/>
        <v>0</v>
      </c>
      <c r="AD27" s="167">
        <f t="shared" si="1"/>
        <v>0</v>
      </c>
    </row>
    <row r="28" spans="1:30" s="35" customFormat="1" ht="21.75" customHeight="1" x14ac:dyDescent="0.25">
      <c r="A28" s="25" t="s">
        <v>236</v>
      </c>
      <c r="B28" s="33" t="s">
        <v>32</v>
      </c>
      <c r="C28" s="128"/>
      <c r="D28" s="168">
        <f>+D9+D10+D11+D12+D13+D23+D24</f>
        <v>141374</v>
      </c>
      <c r="E28" s="168">
        <f t="shared" ref="E28:AD28" si="5">+E9+E10+E11+E12+E13+E23+E24</f>
        <v>11118964</v>
      </c>
      <c r="F28" s="168">
        <f t="shared" si="5"/>
        <v>11118964</v>
      </c>
      <c r="G28" s="168">
        <f t="shared" si="5"/>
        <v>339202853</v>
      </c>
      <c r="H28" s="168">
        <f t="shared" si="5"/>
        <v>343812261</v>
      </c>
      <c r="I28" s="168">
        <f t="shared" si="5"/>
        <v>296660740</v>
      </c>
      <c r="J28" s="168">
        <f t="shared" si="5"/>
        <v>762000</v>
      </c>
      <c r="K28" s="168">
        <f t="shared" si="5"/>
        <v>14567254</v>
      </c>
      <c r="L28" s="168">
        <f t="shared" si="5"/>
        <v>14567254</v>
      </c>
      <c r="M28" s="168">
        <f t="shared" si="5"/>
        <v>1016000</v>
      </c>
      <c r="N28" s="168">
        <f t="shared" si="5"/>
        <v>1516000</v>
      </c>
      <c r="O28" s="168">
        <f t="shared" si="5"/>
        <v>1191116</v>
      </c>
      <c r="P28" s="168">
        <f t="shared" si="5"/>
        <v>0</v>
      </c>
      <c r="Q28" s="168">
        <f t="shared" si="5"/>
        <v>850000</v>
      </c>
      <c r="R28" s="168">
        <f t="shared" si="5"/>
        <v>850000</v>
      </c>
      <c r="S28" s="168">
        <f t="shared" si="5"/>
        <v>0</v>
      </c>
      <c r="T28" s="168">
        <f t="shared" si="5"/>
        <v>0</v>
      </c>
      <c r="U28" s="168">
        <f t="shared" si="5"/>
        <v>0</v>
      </c>
      <c r="V28" s="168">
        <f t="shared" si="5"/>
        <v>0</v>
      </c>
      <c r="W28" s="168">
        <f t="shared" si="5"/>
        <v>0</v>
      </c>
      <c r="X28" s="168">
        <f t="shared" si="5"/>
        <v>0</v>
      </c>
      <c r="Y28" s="168">
        <f t="shared" si="5"/>
        <v>0</v>
      </c>
      <c r="Z28" s="168">
        <f t="shared" si="5"/>
        <v>0</v>
      </c>
      <c r="AA28" s="168">
        <f t="shared" si="5"/>
        <v>0</v>
      </c>
      <c r="AB28" s="168">
        <f t="shared" si="5"/>
        <v>341122227</v>
      </c>
      <c r="AC28" s="168">
        <f t="shared" si="5"/>
        <v>371864479</v>
      </c>
      <c r="AD28" s="168">
        <f t="shared" si="5"/>
        <v>324388074</v>
      </c>
    </row>
    <row r="29" spans="1:30" s="35" customFormat="1" ht="21.75" customHeight="1" x14ac:dyDescent="0.25">
      <c r="A29" s="25" t="s">
        <v>261</v>
      </c>
      <c r="B29" s="33" t="s">
        <v>33</v>
      </c>
      <c r="C29" s="128"/>
      <c r="D29" s="168">
        <f>+D17+D18+D19+D25+D26</f>
        <v>0</v>
      </c>
      <c r="E29" s="168">
        <f t="shared" ref="E29:AD29" si="6">+E17+E18+E19+E25+E26</f>
        <v>0</v>
      </c>
      <c r="F29" s="168">
        <f t="shared" si="6"/>
        <v>0</v>
      </c>
      <c r="G29" s="168">
        <f t="shared" si="6"/>
        <v>1315720</v>
      </c>
      <c r="H29" s="168">
        <f t="shared" si="6"/>
        <v>6120524</v>
      </c>
      <c r="I29" s="168">
        <f t="shared" si="6"/>
        <v>5821608</v>
      </c>
      <c r="J29" s="168">
        <f t="shared" si="6"/>
        <v>127000</v>
      </c>
      <c r="K29" s="168">
        <f t="shared" si="6"/>
        <v>924000</v>
      </c>
      <c r="L29" s="168">
        <f t="shared" si="6"/>
        <v>924000</v>
      </c>
      <c r="M29" s="168">
        <f t="shared" si="6"/>
        <v>0</v>
      </c>
      <c r="N29" s="168">
        <f t="shared" si="6"/>
        <v>0</v>
      </c>
      <c r="O29" s="168">
        <f t="shared" si="6"/>
        <v>0</v>
      </c>
      <c r="P29" s="168">
        <f t="shared" si="6"/>
        <v>0</v>
      </c>
      <c r="Q29" s="168">
        <f t="shared" si="6"/>
        <v>0</v>
      </c>
      <c r="R29" s="168">
        <f t="shared" si="6"/>
        <v>0</v>
      </c>
      <c r="S29" s="168">
        <f t="shared" si="6"/>
        <v>0</v>
      </c>
      <c r="T29" s="168">
        <f t="shared" si="6"/>
        <v>0</v>
      </c>
      <c r="U29" s="168">
        <f t="shared" si="6"/>
        <v>0</v>
      </c>
      <c r="V29" s="168">
        <f t="shared" si="6"/>
        <v>0</v>
      </c>
      <c r="W29" s="168">
        <f t="shared" si="6"/>
        <v>0</v>
      </c>
      <c r="X29" s="168">
        <f t="shared" si="6"/>
        <v>0</v>
      </c>
      <c r="Y29" s="168">
        <f t="shared" si="6"/>
        <v>0</v>
      </c>
      <c r="Z29" s="168">
        <f t="shared" si="6"/>
        <v>0</v>
      </c>
      <c r="AA29" s="168">
        <f t="shared" si="6"/>
        <v>0</v>
      </c>
      <c r="AB29" s="168">
        <f t="shared" si="6"/>
        <v>1442720</v>
      </c>
      <c r="AC29" s="168">
        <f t="shared" si="6"/>
        <v>7044524</v>
      </c>
      <c r="AD29" s="168">
        <f t="shared" si="6"/>
        <v>6745608</v>
      </c>
    </row>
    <row r="30" spans="1:30" s="35" customFormat="1" ht="21.75" customHeight="1" x14ac:dyDescent="0.25">
      <c r="A30" s="25" t="s">
        <v>262</v>
      </c>
      <c r="B30" s="33" t="s">
        <v>328</v>
      </c>
      <c r="C30" s="128" t="s">
        <v>31</v>
      </c>
      <c r="D30" s="168">
        <f>SUM(D28:D29)</f>
        <v>141374</v>
      </c>
      <c r="E30" s="168">
        <f t="shared" ref="E30:AD30" si="7">SUM(E28:E29)</f>
        <v>11118964</v>
      </c>
      <c r="F30" s="168">
        <f t="shared" si="7"/>
        <v>11118964</v>
      </c>
      <c r="G30" s="168">
        <f t="shared" si="7"/>
        <v>340518573</v>
      </c>
      <c r="H30" s="168">
        <f t="shared" si="7"/>
        <v>349932785</v>
      </c>
      <c r="I30" s="168">
        <f t="shared" si="7"/>
        <v>302482348</v>
      </c>
      <c r="J30" s="168">
        <f t="shared" si="7"/>
        <v>889000</v>
      </c>
      <c r="K30" s="168">
        <f t="shared" si="7"/>
        <v>15491254</v>
      </c>
      <c r="L30" s="168">
        <f t="shared" si="7"/>
        <v>15491254</v>
      </c>
      <c r="M30" s="168">
        <f t="shared" si="7"/>
        <v>1016000</v>
      </c>
      <c r="N30" s="168">
        <f t="shared" si="7"/>
        <v>1516000</v>
      </c>
      <c r="O30" s="168">
        <f t="shared" si="7"/>
        <v>1191116</v>
      </c>
      <c r="P30" s="168">
        <f t="shared" si="7"/>
        <v>0</v>
      </c>
      <c r="Q30" s="168">
        <f t="shared" si="7"/>
        <v>850000</v>
      </c>
      <c r="R30" s="168">
        <f t="shared" si="7"/>
        <v>850000</v>
      </c>
      <c r="S30" s="168">
        <f t="shared" si="7"/>
        <v>0</v>
      </c>
      <c r="T30" s="168">
        <f t="shared" si="7"/>
        <v>0</v>
      </c>
      <c r="U30" s="168">
        <f t="shared" si="7"/>
        <v>0</v>
      </c>
      <c r="V30" s="168">
        <f t="shared" si="7"/>
        <v>0</v>
      </c>
      <c r="W30" s="168">
        <f t="shared" si="7"/>
        <v>0</v>
      </c>
      <c r="X30" s="168">
        <f t="shared" si="7"/>
        <v>0</v>
      </c>
      <c r="Y30" s="168">
        <f t="shared" si="7"/>
        <v>0</v>
      </c>
      <c r="Z30" s="168">
        <f t="shared" si="7"/>
        <v>0</v>
      </c>
      <c r="AA30" s="168">
        <f t="shared" si="7"/>
        <v>0</v>
      </c>
      <c r="AB30" s="168">
        <f t="shared" si="7"/>
        <v>342564947</v>
      </c>
      <c r="AC30" s="168">
        <f t="shared" si="7"/>
        <v>378909003</v>
      </c>
      <c r="AD30" s="168">
        <f t="shared" si="7"/>
        <v>331133682</v>
      </c>
    </row>
    <row r="31" spans="1:30" ht="21.75" customHeight="1" x14ac:dyDescent="0.25">
      <c r="A31" s="25" t="s">
        <v>263</v>
      </c>
      <c r="B31" s="27" t="s">
        <v>52</v>
      </c>
      <c r="C31" s="31" t="s">
        <v>212</v>
      </c>
      <c r="D31" s="167"/>
      <c r="E31" s="167"/>
      <c r="F31" s="167"/>
      <c r="G31" s="167"/>
      <c r="H31" s="167"/>
      <c r="I31" s="167"/>
      <c r="J31" s="167"/>
      <c r="K31" s="167"/>
      <c r="L31" s="167"/>
      <c r="M31" s="167"/>
      <c r="N31" s="167"/>
      <c r="O31" s="167"/>
      <c r="P31" s="167"/>
      <c r="Q31" s="167">
        <v>350000</v>
      </c>
      <c r="R31" s="167">
        <v>350000</v>
      </c>
      <c r="S31" s="167"/>
      <c r="T31" s="167"/>
      <c r="U31" s="167"/>
      <c r="V31" s="167"/>
      <c r="W31" s="167"/>
      <c r="X31" s="167"/>
      <c r="Y31" s="167"/>
      <c r="Z31" s="167"/>
      <c r="AA31" s="167"/>
      <c r="AB31" s="167">
        <f t="shared" si="0"/>
        <v>0</v>
      </c>
      <c r="AC31" s="167">
        <f t="shared" si="1"/>
        <v>350000</v>
      </c>
      <c r="AD31" s="167">
        <f t="shared" si="1"/>
        <v>350000</v>
      </c>
    </row>
    <row r="32" spans="1:30" ht="21.75" customHeight="1" x14ac:dyDescent="0.25">
      <c r="A32" s="25" t="s">
        <v>264</v>
      </c>
      <c r="B32" s="27" t="s">
        <v>223</v>
      </c>
      <c r="C32" s="31" t="s">
        <v>213</v>
      </c>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f t="shared" si="0"/>
        <v>0</v>
      </c>
      <c r="AC32" s="167">
        <f t="shared" si="1"/>
        <v>0</v>
      </c>
      <c r="AD32" s="167">
        <f t="shared" si="1"/>
        <v>0</v>
      </c>
    </row>
    <row r="33" spans="1:30" ht="21.75" customHeight="1" x14ac:dyDescent="0.25">
      <c r="A33" s="25" t="s">
        <v>265</v>
      </c>
      <c r="B33" s="27" t="s">
        <v>222</v>
      </c>
      <c r="C33" s="31" t="s">
        <v>214</v>
      </c>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f t="shared" si="0"/>
        <v>0</v>
      </c>
      <c r="AC33" s="167">
        <f t="shared" si="1"/>
        <v>0</v>
      </c>
      <c r="AD33" s="167">
        <f t="shared" si="1"/>
        <v>0</v>
      </c>
    </row>
    <row r="34" spans="1:30" ht="21.75" customHeight="1" x14ac:dyDescent="0.25">
      <c r="A34" s="25" t="s">
        <v>266</v>
      </c>
      <c r="B34" s="28" t="s">
        <v>0</v>
      </c>
      <c r="C34" s="31" t="s">
        <v>215</v>
      </c>
      <c r="D34" s="167"/>
      <c r="E34" s="167"/>
      <c r="F34" s="167"/>
      <c r="G34" s="167">
        <v>200020</v>
      </c>
      <c r="H34" s="167">
        <v>569835</v>
      </c>
      <c r="I34" s="167">
        <v>569835</v>
      </c>
      <c r="J34" s="167"/>
      <c r="K34" s="167"/>
      <c r="L34" s="167"/>
      <c r="M34" s="167"/>
      <c r="N34" s="167"/>
      <c r="O34" s="167"/>
      <c r="P34" s="167"/>
      <c r="Q34" s="167"/>
      <c r="R34" s="167"/>
      <c r="S34" s="167">
        <v>141374</v>
      </c>
      <c r="T34" s="167">
        <f>141374-141374</f>
        <v>0</v>
      </c>
      <c r="U34" s="167"/>
      <c r="V34" s="167"/>
      <c r="W34" s="167"/>
      <c r="X34" s="167"/>
      <c r="Y34" s="167"/>
      <c r="Z34" s="167"/>
      <c r="AA34" s="167"/>
      <c r="AB34" s="167">
        <f t="shared" si="0"/>
        <v>341394</v>
      </c>
      <c r="AC34" s="167">
        <f t="shared" si="1"/>
        <v>569835</v>
      </c>
      <c r="AD34" s="167">
        <f t="shared" si="1"/>
        <v>569835</v>
      </c>
    </row>
    <row r="35" spans="1:30" ht="21.75" customHeight="1" x14ac:dyDescent="0.25">
      <c r="A35" s="25" t="s">
        <v>267</v>
      </c>
      <c r="B35" s="27" t="s">
        <v>245</v>
      </c>
      <c r="C35" s="31" t="s">
        <v>216</v>
      </c>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f t="shared" si="0"/>
        <v>0</v>
      </c>
      <c r="AC35" s="167">
        <f t="shared" si="1"/>
        <v>0</v>
      </c>
      <c r="AD35" s="167">
        <f t="shared" si="1"/>
        <v>0</v>
      </c>
    </row>
    <row r="36" spans="1:30" ht="21.75" customHeight="1" x14ac:dyDescent="0.25">
      <c r="A36" s="25" t="s">
        <v>268</v>
      </c>
      <c r="B36" s="27" t="s">
        <v>240</v>
      </c>
      <c r="C36" s="31" t="s">
        <v>217</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f t="shared" si="0"/>
        <v>0</v>
      </c>
      <c r="AC36" s="167">
        <f t="shared" si="1"/>
        <v>0</v>
      </c>
      <c r="AD36" s="167">
        <f t="shared" si="1"/>
        <v>0</v>
      </c>
    </row>
    <row r="37" spans="1:30" ht="21.75" customHeight="1" x14ac:dyDescent="0.25">
      <c r="A37" s="25" t="s">
        <v>269</v>
      </c>
      <c r="B37" s="27" t="s">
        <v>241</v>
      </c>
      <c r="C37" s="31" t="s">
        <v>218</v>
      </c>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f t="shared" si="0"/>
        <v>0</v>
      </c>
      <c r="AC37" s="167">
        <f t="shared" si="1"/>
        <v>0</v>
      </c>
      <c r="AD37" s="167">
        <f t="shared" si="1"/>
        <v>0</v>
      </c>
    </row>
    <row r="38" spans="1:30" ht="21.75" customHeight="1" x14ac:dyDescent="0.25">
      <c r="A38" s="25" t="s">
        <v>270</v>
      </c>
      <c r="B38" s="28" t="s">
        <v>242</v>
      </c>
      <c r="C38" s="31" t="s">
        <v>219</v>
      </c>
      <c r="D38" s="167">
        <f>+D31+D32+D33+D34+D35+D36+D37</f>
        <v>0</v>
      </c>
      <c r="E38" s="167">
        <f t="shared" ref="E38:AD38" si="8">+E31+E32+E33+E34+E35+E36+E37</f>
        <v>0</v>
      </c>
      <c r="F38" s="167">
        <f t="shared" si="8"/>
        <v>0</v>
      </c>
      <c r="G38" s="167">
        <f t="shared" si="8"/>
        <v>200020</v>
      </c>
      <c r="H38" s="167">
        <f t="shared" si="8"/>
        <v>569835</v>
      </c>
      <c r="I38" s="167">
        <f t="shared" si="8"/>
        <v>569835</v>
      </c>
      <c r="J38" s="167">
        <f t="shared" si="8"/>
        <v>0</v>
      </c>
      <c r="K38" s="167">
        <f t="shared" si="8"/>
        <v>0</v>
      </c>
      <c r="L38" s="167">
        <f t="shared" si="8"/>
        <v>0</v>
      </c>
      <c r="M38" s="167">
        <f t="shared" si="8"/>
        <v>0</v>
      </c>
      <c r="N38" s="167">
        <f t="shared" si="8"/>
        <v>0</v>
      </c>
      <c r="O38" s="167">
        <f t="shared" si="8"/>
        <v>0</v>
      </c>
      <c r="P38" s="167">
        <f t="shared" si="8"/>
        <v>0</v>
      </c>
      <c r="Q38" s="167">
        <f t="shared" si="8"/>
        <v>350000</v>
      </c>
      <c r="R38" s="167">
        <f t="shared" si="8"/>
        <v>350000</v>
      </c>
      <c r="S38" s="167">
        <f t="shared" si="8"/>
        <v>141374</v>
      </c>
      <c r="T38" s="167">
        <f t="shared" si="8"/>
        <v>0</v>
      </c>
      <c r="U38" s="167">
        <f t="shared" si="8"/>
        <v>0</v>
      </c>
      <c r="V38" s="167">
        <f t="shared" si="8"/>
        <v>0</v>
      </c>
      <c r="W38" s="167">
        <f t="shared" si="8"/>
        <v>0</v>
      </c>
      <c r="X38" s="167">
        <f t="shared" si="8"/>
        <v>0</v>
      </c>
      <c r="Y38" s="167">
        <f t="shared" si="8"/>
        <v>0</v>
      </c>
      <c r="Z38" s="167">
        <f t="shared" si="8"/>
        <v>0</v>
      </c>
      <c r="AA38" s="167">
        <f t="shared" si="8"/>
        <v>0</v>
      </c>
      <c r="AB38" s="168">
        <f t="shared" si="8"/>
        <v>341394</v>
      </c>
      <c r="AC38" s="168">
        <f t="shared" si="8"/>
        <v>919835</v>
      </c>
      <c r="AD38" s="168">
        <f t="shared" si="8"/>
        <v>919835</v>
      </c>
    </row>
    <row r="39" spans="1:30" ht="21.75" customHeight="1" x14ac:dyDescent="0.25">
      <c r="A39" s="25" t="s">
        <v>271</v>
      </c>
      <c r="B39" s="31" t="s">
        <v>243</v>
      </c>
      <c r="C39" s="128" t="s">
        <v>221</v>
      </c>
      <c r="D39" s="167">
        <f>SUM(D41:D45)</f>
        <v>342223553</v>
      </c>
      <c r="E39" s="167">
        <f t="shared" ref="E39:AD39" si="9">SUM(E41:E45)</f>
        <v>377989168</v>
      </c>
      <c r="F39" s="167">
        <f t="shared" si="9"/>
        <v>346511305</v>
      </c>
      <c r="G39" s="167">
        <f t="shared" si="9"/>
        <v>0</v>
      </c>
      <c r="H39" s="167">
        <f t="shared" si="9"/>
        <v>0</v>
      </c>
      <c r="I39" s="167">
        <f t="shared" si="9"/>
        <v>0</v>
      </c>
      <c r="J39" s="167">
        <f t="shared" si="9"/>
        <v>0</v>
      </c>
      <c r="K39" s="167">
        <f t="shared" si="9"/>
        <v>0</v>
      </c>
      <c r="L39" s="167">
        <f t="shared" si="9"/>
        <v>0</v>
      </c>
      <c r="M39" s="167">
        <f t="shared" si="9"/>
        <v>0</v>
      </c>
      <c r="N39" s="167">
        <f t="shared" si="9"/>
        <v>0</v>
      </c>
      <c r="O39" s="167">
        <f t="shared" si="9"/>
        <v>0</v>
      </c>
      <c r="P39" s="167">
        <f t="shared" si="9"/>
        <v>0</v>
      </c>
      <c r="Q39" s="167">
        <f t="shared" si="9"/>
        <v>0</v>
      </c>
      <c r="R39" s="167">
        <f t="shared" si="9"/>
        <v>0</v>
      </c>
      <c r="S39" s="167">
        <f t="shared" si="9"/>
        <v>0</v>
      </c>
      <c r="T39" s="167">
        <f t="shared" si="9"/>
        <v>0</v>
      </c>
      <c r="U39" s="167">
        <f t="shared" si="9"/>
        <v>0</v>
      </c>
      <c r="V39" s="167">
        <f t="shared" si="9"/>
        <v>0</v>
      </c>
      <c r="W39" s="167">
        <f t="shared" si="9"/>
        <v>0</v>
      </c>
      <c r="X39" s="167">
        <f t="shared" si="9"/>
        <v>0</v>
      </c>
      <c r="Y39" s="167">
        <f t="shared" si="9"/>
        <v>0</v>
      </c>
      <c r="Z39" s="167">
        <f t="shared" si="9"/>
        <v>0</v>
      </c>
      <c r="AA39" s="167">
        <f t="shared" si="9"/>
        <v>0</v>
      </c>
      <c r="AB39" s="167">
        <f t="shared" si="9"/>
        <v>342223553</v>
      </c>
      <c r="AC39" s="167">
        <f t="shared" si="9"/>
        <v>377989168</v>
      </c>
      <c r="AD39" s="167">
        <f t="shared" si="9"/>
        <v>346511305</v>
      </c>
    </row>
    <row r="40" spans="1:30" ht="21.75" customHeight="1" x14ac:dyDescent="0.25">
      <c r="A40" s="25" t="s">
        <v>272</v>
      </c>
      <c r="B40" s="90" t="s">
        <v>533</v>
      </c>
      <c r="C40" s="128"/>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f t="shared" si="0"/>
        <v>0</v>
      </c>
      <c r="AC40" s="167">
        <f t="shared" si="1"/>
        <v>0</v>
      </c>
      <c r="AD40" s="167">
        <f t="shared" si="1"/>
        <v>0</v>
      </c>
    </row>
    <row r="41" spans="1:30" ht="21.75" customHeight="1" x14ac:dyDescent="0.25">
      <c r="A41" s="25" t="s">
        <v>273</v>
      </c>
      <c r="B41" s="32" t="s">
        <v>768</v>
      </c>
      <c r="C41" s="129"/>
      <c r="D41" s="167">
        <f>22860+404943</f>
        <v>427803</v>
      </c>
      <c r="E41" s="167">
        <f>22860+404943+11118964</f>
        <v>11546767</v>
      </c>
      <c r="F41" s="167">
        <v>11546767</v>
      </c>
      <c r="G41" s="167"/>
      <c r="H41" s="167"/>
      <c r="I41" s="167"/>
      <c r="J41" s="167"/>
      <c r="K41" s="167"/>
      <c r="L41" s="167"/>
      <c r="M41" s="167"/>
      <c r="N41" s="167"/>
      <c r="O41" s="167"/>
      <c r="P41" s="167"/>
      <c r="Q41" s="167"/>
      <c r="R41" s="167"/>
      <c r="S41" s="167"/>
      <c r="T41" s="167"/>
      <c r="U41" s="167"/>
      <c r="V41" s="167"/>
      <c r="W41" s="167"/>
      <c r="X41" s="167"/>
      <c r="Y41" s="167"/>
      <c r="Z41" s="167"/>
      <c r="AA41" s="167"/>
      <c r="AB41" s="167">
        <f t="shared" si="0"/>
        <v>427803</v>
      </c>
      <c r="AC41" s="167">
        <f t="shared" si="1"/>
        <v>11546767</v>
      </c>
      <c r="AD41" s="167">
        <f t="shared" si="1"/>
        <v>11546767</v>
      </c>
    </row>
    <row r="42" spans="1:30" ht="21.75" customHeight="1" x14ac:dyDescent="0.25">
      <c r="A42" s="25" t="s">
        <v>277</v>
      </c>
      <c r="B42" s="32" t="s">
        <v>769</v>
      </c>
      <c r="C42" s="129"/>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f t="shared" si="0"/>
        <v>0</v>
      </c>
      <c r="AC42" s="167">
        <f t="shared" si="1"/>
        <v>0</v>
      </c>
      <c r="AD42" s="167">
        <f t="shared" si="1"/>
        <v>0</v>
      </c>
    </row>
    <row r="43" spans="1:30" ht="21.75" customHeight="1" x14ac:dyDescent="0.25">
      <c r="A43" s="25" t="s">
        <v>278</v>
      </c>
      <c r="B43" s="32" t="s">
        <v>506</v>
      </c>
      <c r="C43" s="129"/>
      <c r="D43" s="167">
        <f>+AB28-AB31-AB33-AB34-AB36-AB41</f>
        <v>340353030</v>
      </c>
      <c r="E43" s="167">
        <f>+AC28-AC31-AC33-AC34-AC36-AC41</f>
        <v>359397877</v>
      </c>
      <c r="F43" s="167">
        <f>334964538-F44</f>
        <v>327920014</v>
      </c>
      <c r="G43" s="167"/>
      <c r="H43" s="167"/>
      <c r="I43" s="167"/>
      <c r="J43" s="167"/>
      <c r="K43" s="167"/>
      <c r="L43" s="167"/>
      <c r="M43" s="167"/>
      <c r="N43" s="167"/>
      <c r="O43" s="167"/>
      <c r="P43" s="167"/>
      <c r="Q43" s="167"/>
      <c r="R43" s="167"/>
      <c r="S43" s="167"/>
      <c r="T43" s="167"/>
      <c r="U43" s="167"/>
      <c r="V43" s="167"/>
      <c r="W43" s="167"/>
      <c r="X43" s="167"/>
      <c r="Y43" s="167"/>
      <c r="Z43" s="167"/>
      <c r="AA43" s="167"/>
      <c r="AB43" s="167">
        <f t="shared" si="0"/>
        <v>340353030</v>
      </c>
      <c r="AC43" s="167">
        <f t="shared" si="1"/>
        <v>359397877</v>
      </c>
      <c r="AD43" s="167">
        <f t="shared" si="1"/>
        <v>327920014</v>
      </c>
    </row>
    <row r="44" spans="1:30" ht="21.75" customHeight="1" x14ac:dyDescent="0.25">
      <c r="A44" s="25" t="s">
        <v>279</v>
      </c>
      <c r="B44" s="32" t="s">
        <v>507</v>
      </c>
      <c r="C44" s="129"/>
      <c r="D44" s="167">
        <f>+AB29-AB32-AB35-AB37-AB42</f>
        <v>1442720</v>
      </c>
      <c r="E44" s="167">
        <f>+AC29-AC32-AC35-AC37-AC42</f>
        <v>7044524</v>
      </c>
      <c r="F44" s="167">
        <v>7044524</v>
      </c>
      <c r="G44" s="167"/>
      <c r="H44" s="167"/>
      <c r="I44" s="167"/>
      <c r="J44" s="167"/>
      <c r="K44" s="167"/>
      <c r="L44" s="167"/>
      <c r="M44" s="167"/>
      <c r="N44" s="167"/>
      <c r="O44" s="167"/>
      <c r="P44" s="167"/>
      <c r="Q44" s="167"/>
      <c r="R44" s="167"/>
      <c r="S44" s="167"/>
      <c r="T44" s="167"/>
      <c r="U44" s="167"/>
      <c r="V44" s="167"/>
      <c r="W44" s="167"/>
      <c r="X44" s="167"/>
      <c r="Y44" s="167"/>
      <c r="Z44" s="167"/>
      <c r="AA44" s="167"/>
      <c r="AB44" s="167">
        <f t="shared" si="0"/>
        <v>1442720</v>
      </c>
      <c r="AC44" s="167">
        <f t="shared" si="1"/>
        <v>7044524</v>
      </c>
      <c r="AD44" s="167">
        <f t="shared" si="1"/>
        <v>7044524</v>
      </c>
    </row>
    <row r="45" spans="1:30" ht="21.75" customHeight="1" x14ac:dyDescent="0.25">
      <c r="A45" s="25" t="s">
        <v>280</v>
      </c>
      <c r="B45" s="32" t="s">
        <v>542</v>
      </c>
      <c r="C45" s="129"/>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f t="shared" si="0"/>
        <v>0</v>
      </c>
      <c r="AC45" s="167">
        <f t="shared" si="1"/>
        <v>0</v>
      </c>
      <c r="AD45" s="167">
        <f t="shared" si="1"/>
        <v>0</v>
      </c>
    </row>
    <row r="46" spans="1:30" ht="21.75" customHeight="1" x14ac:dyDescent="0.25">
      <c r="A46" s="25" t="s">
        <v>281</v>
      </c>
      <c r="B46" s="222" t="s">
        <v>741</v>
      </c>
      <c r="C46" s="129"/>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f t="shared" si="0"/>
        <v>0</v>
      </c>
      <c r="AC46" s="167">
        <f t="shared" si="1"/>
        <v>0</v>
      </c>
      <c r="AD46" s="167">
        <f t="shared" si="1"/>
        <v>0</v>
      </c>
    </row>
    <row r="47" spans="1:30" s="35" customFormat="1" ht="21.75" customHeight="1" x14ac:dyDescent="0.25">
      <c r="A47" s="25" t="s">
        <v>282</v>
      </c>
      <c r="B47" s="33" t="s">
        <v>109</v>
      </c>
      <c r="C47" s="128"/>
      <c r="D47" s="168">
        <f>+D31+D33+D34+D36+D41+D43</f>
        <v>340780833</v>
      </c>
      <c r="E47" s="168">
        <f t="shared" ref="E47:AD47" si="10">+E31+E33+E34+E36+E41+E43</f>
        <v>370944644</v>
      </c>
      <c r="F47" s="168">
        <f t="shared" si="10"/>
        <v>339466781</v>
      </c>
      <c r="G47" s="168">
        <f t="shared" si="10"/>
        <v>200020</v>
      </c>
      <c r="H47" s="168">
        <f t="shared" si="10"/>
        <v>569835</v>
      </c>
      <c r="I47" s="168">
        <f t="shared" si="10"/>
        <v>569835</v>
      </c>
      <c r="J47" s="168">
        <f t="shared" si="10"/>
        <v>0</v>
      </c>
      <c r="K47" s="168">
        <f t="shared" si="10"/>
        <v>0</v>
      </c>
      <c r="L47" s="168">
        <f t="shared" si="10"/>
        <v>0</v>
      </c>
      <c r="M47" s="168">
        <f t="shared" si="10"/>
        <v>0</v>
      </c>
      <c r="N47" s="168">
        <f t="shared" si="10"/>
        <v>0</v>
      </c>
      <c r="O47" s="168">
        <f t="shared" si="10"/>
        <v>0</v>
      </c>
      <c r="P47" s="168">
        <f t="shared" si="10"/>
        <v>0</v>
      </c>
      <c r="Q47" s="168">
        <f t="shared" si="10"/>
        <v>350000</v>
      </c>
      <c r="R47" s="168">
        <f t="shared" si="10"/>
        <v>350000</v>
      </c>
      <c r="S47" s="168">
        <f t="shared" si="10"/>
        <v>141374</v>
      </c>
      <c r="T47" s="168">
        <f t="shared" si="10"/>
        <v>0</v>
      </c>
      <c r="U47" s="168">
        <f t="shared" si="10"/>
        <v>0</v>
      </c>
      <c r="V47" s="168">
        <f t="shared" si="10"/>
        <v>0</v>
      </c>
      <c r="W47" s="168">
        <f t="shared" si="10"/>
        <v>0</v>
      </c>
      <c r="X47" s="168">
        <f t="shared" si="10"/>
        <v>0</v>
      </c>
      <c r="Y47" s="168">
        <f t="shared" si="10"/>
        <v>0</v>
      </c>
      <c r="Z47" s="168">
        <f t="shared" si="10"/>
        <v>0</v>
      </c>
      <c r="AA47" s="168">
        <f t="shared" si="10"/>
        <v>0</v>
      </c>
      <c r="AB47" s="168">
        <f t="shared" si="10"/>
        <v>341122227</v>
      </c>
      <c r="AC47" s="168">
        <f t="shared" si="10"/>
        <v>371864479</v>
      </c>
      <c r="AD47" s="168">
        <f t="shared" si="10"/>
        <v>340386616</v>
      </c>
    </row>
    <row r="48" spans="1:30" s="35" customFormat="1" ht="21.75" customHeight="1" x14ac:dyDescent="0.25">
      <c r="A48" s="25" t="s">
        <v>283</v>
      </c>
      <c r="B48" s="33" t="s">
        <v>110</v>
      </c>
      <c r="C48" s="128"/>
      <c r="D48" s="168">
        <f>+D32+D35+D37+D42+D429+D45+D44</f>
        <v>1442720</v>
      </c>
      <c r="E48" s="168">
        <f t="shared" ref="E48:AD48" si="11">+E32+E35+E37+E42+E429+E45+E44</f>
        <v>7044524</v>
      </c>
      <c r="F48" s="168">
        <f t="shared" si="11"/>
        <v>7044524</v>
      </c>
      <c r="G48" s="168">
        <f t="shared" si="11"/>
        <v>0</v>
      </c>
      <c r="H48" s="168">
        <f t="shared" si="11"/>
        <v>0</v>
      </c>
      <c r="I48" s="168">
        <f t="shared" si="11"/>
        <v>0</v>
      </c>
      <c r="J48" s="168">
        <f t="shared" si="11"/>
        <v>0</v>
      </c>
      <c r="K48" s="168">
        <f t="shared" si="11"/>
        <v>0</v>
      </c>
      <c r="L48" s="168">
        <f t="shared" si="11"/>
        <v>0</v>
      </c>
      <c r="M48" s="168">
        <f t="shared" si="11"/>
        <v>0</v>
      </c>
      <c r="N48" s="168">
        <f t="shared" si="11"/>
        <v>0</v>
      </c>
      <c r="O48" s="168">
        <f t="shared" si="11"/>
        <v>0</v>
      </c>
      <c r="P48" s="168">
        <f t="shared" si="11"/>
        <v>0</v>
      </c>
      <c r="Q48" s="168">
        <f t="shared" si="11"/>
        <v>0</v>
      </c>
      <c r="R48" s="168">
        <f t="shared" si="11"/>
        <v>0</v>
      </c>
      <c r="S48" s="168">
        <f t="shared" si="11"/>
        <v>0</v>
      </c>
      <c r="T48" s="168">
        <f t="shared" si="11"/>
        <v>0</v>
      </c>
      <c r="U48" s="168">
        <f t="shared" si="11"/>
        <v>0</v>
      </c>
      <c r="V48" s="168">
        <f t="shared" si="11"/>
        <v>0</v>
      </c>
      <c r="W48" s="168">
        <f t="shared" si="11"/>
        <v>0</v>
      </c>
      <c r="X48" s="168">
        <f t="shared" si="11"/>
        <v>0</v>
      </c>
      <c r="Y48" s="168">
        <f t="shared" si="11"/>
        <v>0</v>
      </c>
      <c r="Z48" s="168">
        <f t="shared" si="11"/>
        <v>0</v>
      </c>
      <c r="AA48" s="168">
        <f t="shared" si="11"/>
        <v>0</v>
      </c>
      <c r="AB48" s="168">
        <f t="shared" si="11"/>
        <v>1442720</v>
      </c>
      <c r="AC48" s="168">
        <f t="shared" si="11"/>
        <v>7044524</v>
      </c>
      <c r="AD48" s="168">
        <f t="shared" si="11"/>
        <v>7044524</v>
      </c>
    </row>
    <row r="49" spans="1:30" s="35" customFormat="1" ht="21.75" customHeight="1" x14ac:dyDescent="0.25">
      <c r="A49" s="25" t="s">
        <v>284</v>
      </c>
      <c r="B49" s="33" t="s">
        <v>329</v>
      </c>
      <c r="C49" s="128"/>
      <c r="D49" s="168">
        <f>+D47+D48</f>
        <v>342223553</v>
      </c>
      <c r="E49" s="168">
        <f t="shared" ref="E49:AD49" si="12">+E47+E48</f>
        <v>377989168</v>
      </c>
      <c r="F49" s="168">
        <f t="shared" si="12"/>
        <v>346511305</v>
      </c>
      <c r="G49" s="168">
        <f t="shared" si="12"/>
        <v>200020</v>
      </c>
      <c r="H49" s="168">
        <f t="shared" si="12"/>
        <v>569835</v>
      </c>
      <c r="I49" s="168">
        <f t="shared" si="12"/>
        <v>569835</v>
      </c>
      <c r="J49" s="168">
        <f t="shared" si="12"/>
        <v>0</v>
      </c>
      <c r="K49" s="168">
        <f t="shared" si="12"/>
        <v>0</v>
      </c>
      <c r="L49" s="168">
        <f t="shared" si="12"/>
        <v>0</v>
      </c>
      <c r="M49" s="168">
        <f t="shared" si="12"/>
        <v>0</v>
      </c>
      <c r="N49" s="168">
        <f t="shared" si="12"/>
        <v>0</v>
      </c>
      <c r="O49" s="168">
        <f t="shared" si="12"/>
        <v>0</v>
      </c>
      <c r="P49" s="168">
        <f t="shared" si="12"/>
        <v>0</v>
      </c>
      <c r="Q49" s="168">
        <f t="shared" si="12"/>
        <v>350000</v>
      </c>
      <c r="R49" s="168">
        <f t="shared" si="12"/>
        <v>350000</v>
      </c>
      <c r="S49" s="168">
        <f t="shared" si="12"/>
        <v>141374</v>
      </c>
      <c r="T49" s="168">
        <f t="shared" si="12"/>
        <v>0</v>
      </c>
      <c r="U49" s="168">
        <f t="shared" si="12"/>
        <v>0</v>
      </c>
      <c r="V49" s="168">
        <f t="shared" si="12"/>
        <v>0</v>
      </c>
      <c r="W49" s="168">
        <f t="shared" si="12"/>
        <v>0</v>
      </c>
      <c r="X49" s="168">
        <f t="shared" si="12"/>
        <v>0</v>
      </c>
      <c r="Y49" s="168">
        <f t="shared" si="12"/>
        <v>0</v>
      </c>
      <c r="Z49" s="168">
        <f t="shared" si="12"/>
        <v>0</v>
      </c>
      <c r="AA49" s="168">
        <f t="shared" si="12"/>
        <v>0</v>
      </c>
      <c r="AB49" s="168">
        <f t="shared" si="12"/>
        <v>342564947</v>
      </c>
      <c r="AC49" s="168">
        <f t="shared" si="12"/>
        <v>378909003</v>
      </c>
      <c r="AD49" s="168">
        <f t="shared" si="12"/>
        <v>347431140</v>
      </c>
    </row>
    <row r="50" spans="1:30" s="764" customFormat="1" ht="21.75" customHeight="1" x14ac:dyDescent="0.25">
      <c r="A50" s="761" t="s">
        <v>285</v>
      </c>
      <c r="B50" s="296" t="s">
        <v>2075</v>
      </c>
      <c r="C50" s="762"/>
      <c r="D50" s="763"/>
      <c r="E50" s="763"/>
      <c r="F50" s="763"/>
      <c r="G50" s="763">
        <v>48</v>
      </c>
      <c r="H50" s="763">
        <v>48</v>
      </c>
      <c r="I50" s="763">
        <v>46.9</v>
      </c>
      <c r="J50" s="763">
        <v>4</v>
      </c>
      <c r="K50" s="763">
        <v>4</v>
      </c>
      <c r="L50" s="763">
        <v>2</v>
      </c>
      <c r="M50" s="763"/>
      <c r="N50" s="763"/>
      <c r="O50" s="763"/>
      <c r="P50" s="763"/>
      <c r="Q50" s="763"/>
      <c r="R50" s="763"/>
      <c r="S50" s="763"/>
      <c r="T50" s="763"/>
      <c r="U50" s="763"/>
      <c r="V50" s="763"/>
      <c r="W50" s="763"/>
      <c r="X50" s="763"/>
      <c r="Y50" s="763"/>
      <c r="Z50" s="763"/>
      <c r="AA50" s="763"/>
      <c r="AB50" s="763">
        <f t="shared" si="0"/>
        <v>52</v>
      </c>
      <c r="AC50" s="763">
        <f t="shared" si="1"/>
        <v>52</v>
      </c>
      <c r="AD50" s="763">
        <f t="shared" si="1"/>
        <v>48.9</v>
      </c>
    </row>
    <row r="51" spans="1:30" ht="21.75" customHeight="1" x14ac:dyDescent="0.25">
      <c r="A51" s="25" t="s">
        <v>286</v>
      </c>
      <c r="B51" s="46" t="s">
        <v>964</v>
      </c>
      <c r="C51" s="170"/>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67">
        <f t="shared" si="0"/>
        <v>0</v>
      </c>
      <c r="AC51" s="167">
        <f t="shared" si="1"/>
        <v>0</v>
      </c>
      <c r="AD51" s="167">
        <f t="shared" si="1"/>
        <v>0</v>
      </c>
    </row>
  </sheetData>
  <mergeCells count="35">
    <mergeCell ref="S4:U4"/>
    <mergeCell ref="V4:X4"/>
    <mergeCell ref="Y4:AA4"/>
    <mergeCell ref="D5:F5"/>
    <mergeCell ref="G5:I5"/>
    <mergeCell ref="J5:L5"/>
    <mergeCell ref="M5:O5"/>
    <mergeCell ref="P5:R5"/>
    <mergeCell ref="S5:U5"/>
    <mergeCell ref="D4:F4"/>
    <mergeCell ref="G4:I4"/>
    <mergeCell ref="J4:L4"/>
    <mergeCell ref="M4:O4"/>
    <mergeCell ref="P4:R4"/>
    <mergeCell ref="D2:I2"/>
    <mergeCell ref="J2:O2"/>
    <mergeCell ref="P2:U2"/>
    <mergeCell ref="V2:AA2"/>
    <mergeCell ref="AB2:AD2"/>
    <mergeCell ref="AB4:AD7"/>
    <mergeCell ref="A3:C3"/>
    <mergeCell ref="B5:C5"/>
    <mergeCell ref="B6:C6"/>
    <mergeCell ref="A4:A7"/>
    <mergeCell ref="B4:C4"/>
    <mergeCell ref="V5:X5"/>
    <mergeCell ref="Y5:AA5"/>
    <mergeCell ref="D6:F7"/>
    <mergeCell ref="G6:I7"/>
    <mergeCell ref="J6:L7"/>
    <mergeCell ref="M6:O7"/>
    <mergeCell ref="P6:R7"/>
    <mergeCell ref="S6:U7"/>
    <mergeCell ref="V6:X7"/>
    <mergeCell ref="Y6:AA7"/>
  </mergeCells>
  <phoneticPr fontId="44" type="noConversion"/>
  <printOptions horizontalCentered="1" verticalCentered="1"/>
  <pageMargins left="0.35433070866141736" right="0.35433070866141736" top="0.19685039370078741" bottom="0.19685039370078741" header="0.51181102362204722" footer="0.51181102362204722"/>
  <pageSetup paperSize="9" scale="34" orientation="portrait" horizontalDpi="200" verticalDpi="200" r:id="rId1"/>
  <headerFooter alignWithMargins="0">
    <oddHeader>&amp;C2022. évi zárszámadás&amp;R&amp;A</oddHeader>
    <oddFooter>&amp;C&amp;P/&amp;N</oddFooter>
  </headerFooter>
  <colBreaks count="4" manualBreakCount="4">
    <brk id="9" max="50" man="1"/>
    <brk id="15" max="50" man="1"/>
    <brk id="21" max="50" man="1"/>
    <brk id="27"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Y51"/>
  <sheetViews>
    <sheetView view="pageBreakPreview" zoomScale="70" zoomScaleNormal="70" zoomScaleSheetLayoutView="70" workbookViewId="0">
      <pane xSplit="3" ySplit="8" topLeftCell="L36" activePane="bottomRight" state="frozen"/>
      <selection activeCell="Y17" sqref="Y17"/>
      <selection pane="topRight" activeCell="Y17" sqref="Y17"/>
      <selection pane="bottomLeft" activeCell="Y17" sqref="Y17"/>
      <selection pane="bottomRight" activeCell="AD50" sqref="AD50"/>
    </sheetView>
  </sheetViews>
  <sheetFormatPr defaultColWidth="9.140625" defaultRowHeight="12.75" x14ac:dyDescent="0.2"/>
  <cols>
    <col min="1" max="1" width="7" style="19" customWidth="1"/>
    <col min="2" max="2" width="64.85546875" style="19" customWidth="1"/>
    <col min="3" max="3" width="7" style="125" customWidth="1"/>
    <col min="4" max="4" width="17.7109375" style="20" customWidth="1"/>
    <col min="5" max="5" width="18.7109375" style="20" customWidth="1"/>
    <col min="6" max="6" width="17.42578125" style="20" customWidth="1"/>
    <col min="7" max="7" width="18.42578125" style="20" customWidth="1"/>
    <col min="8" max="8" width="20" style="20" customWidth="1"/>
    <col min="9" max="9" width="18.42578125" style="20" customWidth="1"/>
    <col min="10" max="10" width="18.140625" style="20" customWidth="1"/>
    <col min="11" max="11" width="19" style="20" customWidth="1"/>
    <col min="12" max="12" width="16.7109375" style="20" customWidth="1"/>
    <col min="13" max="13" width="18" style="20" customWidth="1"/>
    <col min="14" max="14" width="19.28515625" style="20" customWidth="1"/>
    <col min="15" max="15" width="17.85546875" style="20" customWidth="1"/>
    <col min="16" max="17" width="18.42578125" style="20" customWidth="1"/>
    <col min="18" max="18" width="17.5703125" style="20" customWidth="1"/>
    <col min="19" max="21" width="18.42578125" style="20" customWidth="1"/>
    <col min="22" max="22" width="18.5703125" style="20" customWidth="1"/>
    <col min="23" max="23" width="21" style="19" customWidth="1"/>
    <col min="24" max="24" width="21.28515625" style="19" customWidth="1"/>
    <col min="25" max="16384" width="9.140625" style="19"/>
  </cols>
  <sheetData>
    <row r="1" spans="1:25" ht="15.75" x14ac:dyDescent="0.25">
      <c r="I1" s="166" t="s">
        <v>415</v>
      </c>
      <c r="O1" s="166" t="s">
        <v>415</v>
      </c>
      <c r="U1" s="166" t="s">
        <v>415</v>
      </c>
      <c r="X1" s="166" t="s">
        <v>415</v>
      </c>
    </row>
    <row r="2" spans="1:25" ht="30.75" customHeight="1" x14ac:dyDescent="0.25">
      <c r="A2" s="372"/>
      <c r="B2" s="373"/>
      <c r="C2" s="376"/>
      <c r="D2" s="1057" t="s">
        <v>1972</v>
      </c>
      <c r="E2" s="1058"/>
      <c r="F2" s="1058"/>
      <c r="G2" s="1058"/>
      <c r="H2" s="1058"/>
      <c r="I2" s="1059"/>
      <c r="J2" s="1057" t="s">
        <v>1972</v>
      </c>
      <c r="K2" s="1058"/>
      <c r="L2" s="1058"/>
      <c r="M2" s="1058"/>
      <c r="N2" s="1058"/>
      <c r="O2" s="1059"/>
      <c r="P2" s="1057" t="s">
        <v>1972</v>
      </c>
      <c r="Q2" s="1058"/>
      <c r="R2" s="1058"/>
      <c r="S2" s="1058"/>
      <c r="T2" s="1058"/>
      <c r="U2" s="1059"/>
      <c r="V2" s="1057" t="s">
        <v>1972</v>
      </c>
      <c r="W2" s="1058"/>
      <c r="X2" s="1059"/>
      <c r="Y2" s="375"/>
    </row>
    <row r="3" spans="1:25" ht="39.75" customHeight="1" x14ac:dyDescent="0.2">
      <c r="A3" s="1028" t="s">
        <v>133</v>
      </c>
      <c r="B3" s="1029"/>
      <c r="C3" s="1030"/>
      <c r="D3" s="644" t="s">
        <v>274</v>
      </c>
      <c r="E3" s="644" t="s">
        <v>1074</v>
      </c>
      <c r="F3" s="644" t="s">
        <v>1546</v>
      </c>
      <c r="G3" s="644" t="s">
        <v>274</v>
      </c>
      <c r="H3" s="644" t="s">
        <v>1074</v>
      </c>
      <c r="I3" s="644" t="s">
        <v>1546</v>
      </c>
      <c r="J3" s="644" t="s">
        <v>274</v>
      </c>
      <c r="K3" s="644" t="s">
        <v>1074</v>
      </c>
      <c r="L3" s="644" t="s">
        <v>1546</v>
      </c>
      <c r="M3" s="644" t="s">
        <v>274</v>
      </c>
      <c r="N3" s="644" t="s">
        <v>1074</v>
      </c>
      <c r="O3" s="644" t="s">
        <v>1546</v>
      </c>
      <c r="P3" s="644" t="s">
        <v>274</v>
      </c>
      <c r="Q3" s="644" t="s">
        <v>1074</v>
      </c>
      <c r="R3" s="644" t="s">
        <v>1546</v>
      </c>
      <c r="S3" s="644" t="s">
        <v>274</v>
      </c>
      <c r="T3" s="644" t="s">
        <v>1074</v>
      </c>
      <c r="U3" s="644" t="s">
        <v>1546</v>
      </c>
      <c r="V3" s="644" t="s">
        <v>274</v>
      </c>
      <c r="W3" s="644" t="s">
        <v>1074</v>
      </c>
      <c r="X3" s="644" t="s">
        <v>1546</v>
      </c>
    </row>
    <row r="4" spans="1:25" ht="102" customHeight="1" x14ac:dyDescent="0.2">
      <c r="A4" s="1034" t="s">
        <v>189</v>
      </c>
      <c r="B4" s="1035" t="s">
        <v>247</v>
      </c>
      <c r="C4" s="1035"/>
      <c r="D4" s="1039" t="s">
        <v>1744</v>
      </c>
      <c r="E4" s="1040"/>
      <c r="F4" s="1041"/>
      <c r="G4" s="1057" t="s">
        <v>1973</v>
      </c>
      <c r="H4" s="1058"/>
      <c r="I4" s="1059"/>
      <c r="J4" s="1057" t="s">
        <v>1967</v>
      </c>
      <c r="K4" s="1058"/>
      <c r="L4" s="1059"/>
      <c r="M4" s="1057" t="s">
        <v>1974</v>
      </c>
      <c r="N4" s="1058" t="s">
        <v>338</v>
      </c>
      <c r="O4" s="1059"/>
      <c r="P4" s="1057" t="s">
        <v>1967</v>
      </c>
      <c r="Q4" s="1058" t="s">
        <v>461</v>
      </c>
      <c r="R4" s="1059"/>
      <c r="S4" s="1057" t="s">
        <v>1967</v>
      </c>
      <c r="T4" s="1058" t="s">
        <v>461</v>
      </c>
      <c r="U4" s="1059"/>
      <c r="V4" s="1051" t="s">
        <v>135</v>
      </c>
      <c r="W4" s="1052"/>
      <c r="X4" s="1053"/>
    </row>
    <row r="5" spans="1:25" ht="25.5" customHeight="1" x14ac:dyDescent="0.2">
      <c r="A5" s="1034"/>
      <c r="B5" s="1035" t="s">
        <v>11</v>
      </c>
      <c r="C5" s="1035"/>
      <c r="D5" s="1057" t="s">
        <v>225</v>
      </c>
      <c r="E5" s="1058" t="s">
        <v>225</v>
      </c>
      <c r="F5" s="1059"/>
      <c r="G5" s="1057" t="s">
        <v>225</v>
      </c>
      <c r="H5" s="1058" t="s">
        <v>225</v>
      </c>
      <c r="I5" s="1059"/>
      <c r="J5" s="1057" t="s">
        <v>225</v>
      </c>
      <c r="K5" s="1058" t="s">
        <v>225</v>
      </c>
      <c r="L5" s="1059"/>
      <c r="M5" s="1057" t="s">
        <v>225</v>
      </c>
      <c r="N5" s="1058" t="s">
        <v>225</v>
      </c>
      <c r="O5" s="1059"/>
      <c r="P5" s="1057" t="s">
        <v>225</v>
      </c>
      <c r="Q5" s="1058" t="s">
        <v>225</v>
      </c>
      <c r="R5" s="1059"/>
      <c r="S5" s="1057" t="s">
        <v>225</v>
      </c>
      <c r="T5" s="1058" t="s">
        <v>225</v>
      </c>
      <c r="U5" s="1059"/>
      <c r="V5" s="1060"/>
      <c r="W5" s="1061"/>
      <c r="X5" s="1062"/>
    </row>
    <row r="6" spans="1:25" ht="15.75" customHeight="1" x14ac:dyDescent="0.2">
      <c r="A6" s="1034"/>
      <c r="B6" s="992" t="s">
        <v>646</v>
      </c>
      <c r="C6" s="992"/>
      <c r="D6" s="1051" t="s">
        <v>1952</v>
      </c>
      <c r="E6" s="1052"/>
      <c r="F6" s="1053"/>
      <c r="G6" s="1051" t="s">
        <v>1975</v>
      </c>
      <c r="H6" s="1052" t="s">
        <v>391</v>
      </c>
      <c r="I6" s="1053"/>
      <c r="J6" s="1051" t="s">
        <v>1976</v>
      </c>
      <c r="K6" s="1052" t="s">
        <v>1153</v>
      </c>
      <c r="L6" s="1053"/>
      <c r="M6" s="1051" t="s">
        <v>1977</v>
      </c>
      <c r="N6" s="1052" t="s">
        <v>394</v>
      </c>
      <c r="O6" s="1053"/>
      <c r="P6" s="1051" t="s">
        <v>1978</v>
      </c>
      <c r="Q6" s="1052" t="s">
        <v>1154</v>
      </c>
      <c r="R6" s="1053"/>
      <c r="S6" s="1051" t="s">
        <v>1979</v>
      </c>
      <c r="T6" s="1052" t="s">
        <v>1155</v>
      </c>
      <c r="U6" s="1053"/>
      <c r="V6" s="1060"/>
      <c r="W6" s="1061"/>
      <c r="X6" s="1062"/>
    </row>
    <row r="7" spans="1:25" ht="66" customHeight="1" x14ac:dyDescent="0.2">
      <c r="A7" s="1034"/>
      <c r="B7" s="684" t="s">
        <v>190</v>
      </c>
      <c r="C7" s="126" t="s">
        <v>248</v>
      </c>
      <c r="D7" s="1054"/>
      <c r="E7" s="1055"/>
      <c r="F7" s="1056"/>
      <c r="G7" s="1054"/>
      <c r="H7" s="1055"/>
      <c r="I7" s="1056"/>
      <c r="J7" s="1054"/>
      <c r="K7" s="1055"/>
      <c r="L7" s="1056"/>
      <c r="M7" s="1054"/>
      <c r="N7" s="1055"/>
      <c r="O7" s="1056"/>
      <c r="P7" s="1054"/>
      <c r="Q7" s="1055"/>
      <c r="R7" s="1056"/>
      <c r="S7" s="1054"/>
      <c r="T7" s="1055"/>
      <c r="U7" s="1056"/>
      <c r="V7" s="1054"/>
      <c r="W7" s="1055"/>
      <c r="X7" s="1056"/>
    </row>
    <row r="8" spans="1:25" ht="15.75" x14ac:dyDescent="0.2">
      <c r="A8" s="23" t="s">
        <v>191</v>
      </c>
      <c r="B8" s="24" t="s">
        <v>192</v>
      </c>
      <c r="C8" s="24" t="s">
        <v>193</v>
      </c>
      <c r="D8" s="301" t="s">
        <v>194</v>
      </c>
      <c r="E8" s="24" t="s">
        <v>195</v>
      </c>
      <c r="F8" s="301" t="s">
        <v>196</v>
      </c>
      <c r="G8" s="24" t="s">
        <v>197</v>
      </c>
      <c r="H8" s="301" t="s">
        <v>198</v>
      </c>
      <c r="I8" s="24" t="s">
        <v>199</v>
      </c>
      <c r="J8" s="301" t="s">
        <v>200</v>
      </c>
      <c r="K8" s="24" t="s">
        <v>201</v>
      </c>
      <c r="L8" s="301" t="s">
        <v>228</v>
      </c>
      <c r="M8" s="24" t="s">
        <v>229</v>
      </c>
      <c r="N8" s="301" t="s">
        <v>230</v>
      </c>
      <c r="O8" s="24" t="s">
        <v>231</v>
      </c>
      <c r="P8" s="301" t="s">
        <v>232</v>
      </c>
      <c r="Q8" s="24" t="s">
        <v>233</v>
      </c>
      <c r="R8" s="301" t="s">
        <v>234</v>
      </c>
      <c r="S8" s="24" t="s">
        <v>235</v>
      </c>
      <c r="T8" s="301" t="s">
        <v>236</v>
      </c>
      <c r="U8" s="24" t="s">
        <v>261</v>
      </c>
      <c r="V8" s="301" t="s">
        <v>262</v>
      </c>
      <c r="W8" s="24" t="s">
        <v>263</v>
      </c>
      <c r="X8" s="301" t="s">
        <v>264</v>
      </c>
    </row>
    <row r="9" spans="1:25" ht="21.75" customHeight="1" x14ac:dyDescent="0.25">
      <c r="A9" s="25" t="s">
        <v>191</v>
      </c>
      <c r="B9" s="22" t="s">
        <v>330</v>
      </c>
      <c r="C9" s="26" t="s">
        <v>202</v>
      </c>
      <c r="D9" s="167"/>
      <c r="E9" s="167"/>
      <c r="F9" s="167"/>
      <c r="G9" s="167">
        <v>281838703</v>
      </c>
      <c r="H9" s="167">
        <v>287329328</v>
      </c>
      <c r="I9" s="167">
        <v>257687064</v>
      </c>
      <c r="J9" s="167">
        <v>117677354</v>
      </c>
      <c r="K9" s="167">
        <f>117677354+2200000</f>
        <v>119877354</v>
      </c>
      <c r="L9" s="167">
        <v>108542307</v>
      </c>
      <c r="M9" s="167"/>
      <c r="N9" s="167">
        <v>84375</v>
      </c>
      <c r="O9" s="167">
        <v>84375</v>
      </c>
      <c r="P9" s="167"/>
      <c r="Q9" s="167"/>
      <c r="R9" s="167"/>
      <c r="S9" s="167"/>
      <c r="T9" s="167"/>
      <c r="U9" s="167"/>
      <c r="V9" s="167">
        <f t="shared" ref="V9:V51" si="0">D9+G9+J9+M9+P9+S9</f>
        <v>399516057</v>
      </c>
      <c r="W9" s="167">
        <f t="shared" ref="W9:X51" si="1">E9+H9+K9+N9+Q9+T9</f>
        <v>407291057</v>
      </c>
      <c r="X9" s="167">
        <f t="shared" si="1"/>
        <v>366313746</v>
      </c>
    </row>
    <row r="10" spans="1:25" ht="21.75" customHeight="1" x14ac:dyDescent="0.25">
      <c r="A10" s="25" t="s">
        <v>192</v>
      </c>
      <c r="B10" s="27" t="s">
        <v>203</v>
      </c>
      <c r="C10" s="26" t="s">
        <v>204</v>
      </c>
      <c r="D10" s="167"/>
      <c r="E10" s="167"/>
      <c r="F10" s="167"/>
      <c r="G10" s="167">
        <f>38686531+6660000+200000</f>
        <v>45546531</v>
      </c>
      <c r="H10" s="167">
        <v>46261409</v>
      </c>
      <c r="I10" s="167">
        <v>41789776</v>
      </c>
      <c r="J10" s="167">
        <v>16138056</v>
      </c>
      <c r="K10" s="167">
        <f>16138056+286000</f>
        <v>16424056</v>
      </c>
      <c r="L10" s="167">
        <v>15495714</v>
      </c>
      <c r="M10" s="167"/>
      <c r="N10" s="167">
        <v>9872</v>
      </c>
      <c r="O10" s="167">
        <v>9872</v>
      </c>
      <c r="P10" s="167"/>
      <c r="Q10" s="167"/>
      <c r="R10" s="167"/>
      <c r="S10" s="167"/>
      <c r="T10" s="167"/>
      <c r="U10" s="167"/>
      <c r="V10" s="167">
        <f t="shared" si="0"/>
        <v>61684587</v>
      </c>
      <c r="W10" s="167">
        <f t="shared" si="1"/>
        <v>62695337</v>
      </c>
      <c r="X10" s="167">
        <f t="shared" si="1"/>
        <v>57295362</v>
      </c>
    </row>
    <row r="11" spans="1:25" ht="21.75" customHeight="1" x14ac:dyDescent="0.25">
      <c r="A11" s="25" t="s">
        <v>193</v>
      </c>
      <c r="B11" s="27" t="s">
        <v>331</v>
      </c>
      <c r="C11" s="26" t="s">
        <v>205</v>
      </c>
      <c r="D11" s="167">
        <v>49000</v>
      </c>
      <c r="E11" s="167">
        <f>49000-49000</f>
        <v>0</v>
      </c>
      <c r="F11" s="167"/>
      <c r="G11" s="167">
        <f>+(37486250)+15318+173409</f>
        <v>37674977</v>
      </c>
      <c r="H11" s="167">
        <v>49575408</v>
      </c>
      <c r="I11" s="167">
        <v>27952700</v>
      </c>
      <c r="J11" s="167">
        <f>+(14735396)+7542+553023</f>
        <v>15295961</v>
      </c>
      <c r="K11" s="167">
        <v>19196050</v>
      </c>
      <c r="L11" s="167">
        <v>12551189</v>
      </c>
      <c r="M11" s="167">
        <v>523200</v>
      </c>
      <c r="N11" s="167">
        <v>523200</v>
      </c>
      <c r="O11" s="167">
        <v>6000</v>
      </c>
      <c r="P11" s="167"/>
      <c r="Q11" s="167"/>
      <c r="R11" s="167"/>
      <c r="S11" s="167"/>
      <c r="T11" s="167">
        <v>850000</v>
      </c>
      <c r="U11" s="167">
        <v>600372</v>
      </c>
      <c r="V11" s="167">
        <f t="shared" si="0"/>
        <v>53543138</v>
      </c>
      <c r="W11" s="167">
        <f t="shared" si="1"/>
        <v>70144658</v>
      </c>
      <c r="X11" s="167">
        <f t="shared" si="1"/>
        <v>41110261</v>
      </c>
    </row>
    <row r="12" spans="1:25" ht="21.75" customHeight="1" x14ac:dyDescent="0.25">
      <c r="A12" s="25" t="s">
        <v>194</v>
      </c>
      <c r="B12" s="28" t="s">
        <v>332</v>
      </c>
      <c r="C12" s="26" t="s">
        <v>206</v>
      </c>
      <c r="D12" s="167"/>
      <c r="E12" s="167"/>
      <c r="F12" s="167"/>
      <c r="G12" s="167"/>
      <c r="H12" s="167"/>
      <c r="I12" s="167"/>
      <c r="J12" s="167"/>
      <c r="K12" s="167"/>
      <c r="L12" s="167"/>
      <c r="M12" s="167"/>
      <c r="N12" s="167"/>
      <c r="O12" s="167"/>
      <c r="P12" s="167"/>
      <c r="Q12" s="167"/>
      <c r="R12" s="167"/>
      <c r="S12" s="167"/>
      <c r="T12" s="167"/>
      <c r="U12" s="167"/>
      <c r="V12" s="167">
        <f t="shared" si="0"/>
        <v>0</v>
      </c>
      <c r="W12" s="167">
        <f t="shared" si="1"/>
        <v>0</v>
      </c>
      <c r="X12" s="167">
        <f t="shared" si="1"/>
        <v>0</v>
      </c>
    </row>
    <row r="13" spans="1:25" ht="21.75" customHeight="1" x14ac:dyDescent="0.25">
      <c r="A13" s="25" t="s">
        <v>195</v>
      </c>
      <c r="B13" s="28" t="s">
        <v>237</v>
      </c>
      <c r="C13" s="26" t="s">
        <v>207</v>
      </c>
      <c r="D13" s="167">
        <f t="shared" ref="D13:X13" si="2">SUM(D14:D16)</f>
        <v>0</v>
      </c>
      <c r="E13" s="167">
        <f t="shared" si="2"/>
        <v>5540351</v>
      </c>
      <c r="F13" s="167">
        <f t="shared" si="2"/>
        <v>5540351</v>
      </c>
      <c r="G13" s="167">
        <f t="shared" si="2"/>
        <v>0</v>
      </c>
      <c r="H13" s="167">
        <f t="shared" si="2"/>
        <v>0</v>
      </c>
      <c r="I13" s="167">
        <f t="shared" si="2"/>
        <v>0</v>
      </c>
      <c r="J13" s="167">
        <f t="shared" si="2"/>
        <v>0</v>
      </c>
      <c r="K13" s="167">
        <f t="shared" si="2"/>
        <v>0</v>
      </c>
      <c r="L13" s="167">
        <f t="shared" si="2"/>
        <v>0</v>
      </c>
      <c r="M13" s="167">
        <f t="shared" si="2"/>
        <v>0</v>
      </c>
      <c r="N13" s="167">
        <f t="shared" si="2"/>
        <v>0</v>
      </c>
      <c r="O13" s="167">
        <f t="shared" si="2"/>
        <v>0</v>
      </c>
      <c r="P13" s="167">
        <f t="shared" si="2"/>
        <v>0</v>
      </c>
      <c r="Q13" s="167">
        <f t="shared" si="2"/>
        <v>0</v>
      </c>
      <c r="R13" s="167">
        <f t="shared" si="2"/>
        <v>0</v>
      </c>
      <c r="S13" s="167">
        <f t="shared" si="2"/>
        <v>0</v>
      </c>
      <c r="T13" s="167">
        <f t="shared" si="2"/>
        <v>0</v>
      </c>
      <c r="U13" s="167">
        <f t="shared" si="2"/>
        <v>0</v>
      </c>
      <c r="V13" s="167">
        <f t="shared" si="2"/>
        <v>0</v>
      </c>
      <c r="W13" s="167">
        <f t="shared" si="2"/>
        <v>5540351</v>
      </c>
      <c r="X13" s="167">
        <f t="shared" si="2"/>
        <v>5540351</v>
      </c>
    </row>
    <row r="14" spans="1:25" ht="21.75" customHeight="1" x14ac:dyDescent="0.25">
      <c r="A14" s="25" t="s">
        <v>196</v>
      </c>
      <c r="B14" s="29" t="s">
        <v>529</v>
      </c>
      <c r="C14" s="26"/>
      <c r="D14" s="167"/>
      <c r="E14" s="167"/>
      <c r="F14" s="167"/>
      <c r="G14" s="167"/>
      <c r="H14" s="167"/>
      <c r="I14" s="167"/>
      <c r="J14" s="167"/>
      <c r="K14" s="167"/>
      <c r="L14" s="167"/>
      <c r="M14" s="167"/>
      <c r="N14" s="167"/>
      <c r="O14" s="167"/>
      <c r="P14" s="167"/>
      <c r="Q14" s="167"/>
      <c r="R14" s="167"/>
      <c r="S14" s="167"/>
      <c r="T14" s="167"/>
      <c r="U14" s="167"/>
      <c r="V14" s="167">
        <f t="shared" si="0"/>
        <v>0</v>
      </c>
      <c r="W14" s="167">
        <f t="shared" si="1"/>
        <v>0</v>
      </c>
      <c r="X14" s="167">
        <f t="shared" si="1"/>
        <v>0</v>
      </c>
    </row>
    <row r="15" spans="1:25" ht="21.75" customHeight="1" x14ac:dyDescent="0.25">
      <c r="A15" s="25" t="s">
        <v>197</v>
      </c>
      <c r="B15" s="29" t="s">
        <v>530</v>
      </c>
      <c r="C15" s="30"/>
      <c r="D15" s="167"/>
      <c r="E15" s="167"/>
      <c r="F15" s="167"/>
      <c r="G15" s="167"/>
      <c r="H15" s="167"/>
      <c r="I15" s="167"/>
      <c r="J15" s="167"/>
      <c r="K15" s="167"/>
      <c r="L15" s="167"/>
      <c r="M15" s="167"/>
      <c r="N15" s="167"/>
      <c r="O15" s="167"/>
      <c r="P15" s="167"/>
      <c r="Q15" s="167"/>
      <c r="R15" s="167"/>
      <c r="S15" s="167"/>
      <c r="T15" s="167"/>
      <c r="U15" s="167"/>
      <c r="V15" s="167">
        <f t="shared" si="0"/>
        <v>0</v>
      </c>
      <c r="W15" s="167">
        <f t="shared" si="1"/>
        <v>0</v>
      </c>
      <c r="X15" s="167">
        <f t="shared" si="1"/>
        <v>0</v>
      </c>
    </row>
    <row r="16" spans="1:25" ht="21.75" customHeight="1" x14ac:dyDescent="0.25">
      <c r="A16" s="25" t="s">
        <v>198</v>
      </c>
      <c r="B16" s="88" t="s">
        <v>531</v>
      </c>
      <c r="C16" s="30"/>
      <c r="D16" s="167"/>
      <c r="E16" s="167">
        <v>5540351</v>
      </c>
      <c r="F16" s="167">
        <v>5540351</v>
      </c>
      <c r="G16" s="167"/>
      <c r="H16" s="167"/>
      <c r="I16" s="167"/>
      <c r="J16" s="167"/>
      <c r="K16" s="167"/>
      <c r="L16" s="167"/>
      <c r="M16" s="167"/>
      <c r="N16" s="167"/>
      <c r="O16" s="167"/>
      <c r="P16" s="167"/>
      <c r="Q16" s="167"/>
      <c r="R16" s="167"/>
      <c r="S16" s="167"/>
      <c r="T16" s="167"/>
      <c r="U16" s="167"/>
      <c r="V16" s="167">
        <f t="shared" si="0"/>
        <v>0</v>
      </c>
      <c r="W16" s="167">
        <f t="shared" si="1"/>
        <v>5540351</v>
      </c>
      <c r="X16" s="167">
        <f t="shared" si="1"/>
        <v>5540351</v>
      </c>
    </row>
    <row r="17" spans="1:24" ht="21.75" customHeight="1" x14ac:dyDescent="0.25">
      <c r="A17" s="25" t="s">
        <v>199</v>
      </c>
      <c r="B17" s="31" t="s">
        <v>244</v>
      </c>
      <c r="C17" s="26" t="s">
        <v>208</v>
      </c>
      <c r="D17" s="167"/>
      <c r="E17" s="167"/>
      <c r="F17" s="167"/>
      <c r="G17" s="167">
        <v>1176020</v>
      </c>
      <c r="H17" s="167">
        <v>4379720</v>
      </c>
      <c r="I17" s="167">
        <v>3846642</v>
      </c>
      <c r="J17" s="169">
        <v>406400</v>
      </c>
      <c r="K17" s="169">
        <v>976467</v>
      </c>
      <c r="L17" s="169">
        <v>867807</v>
      </c>
      <c r="M17" s="167">
        <v>100000</v>
      </c>
      <c r="N17" s="167">
        <v>100000</v>
      </c>
      <c r="O17" s="167">
        <v>81940</v>
      </c>
      <c r="P17" s="167"/>
      <c r="Q17" s="167"/>
      <c r="R17" s="167"/>
      <c r="S17" s="167"/>
      <c r="T17" s="167"/>
      <c r="U17" s="167"/>
      <c r="V17" s="167">
        <f t="shared" si="0"/>
        <v>1682420</v>
      </c>
      <c r="W17" s="167">
        <f t="shared" si="1"/>
        <v>5456187</v>
      </c>
      <c r="X17" s="167">
        <f t="shared" si="1"/>
        <v>4796389</v>
      </c>
    </row>
    <row r="18" spans="1:24" ht="21.75" customHeight="1" x14ac:dyDescent="0.25">
      <c r="A18" s="25" t="s">
        <v>200</v>
      </c>
      <c r="B18" s="28" t="s">
        <v>333</v>
      </c>
      <c r="C18" s="26" t="s">
        <v>209</v>
      </c>
      <c r="D18" s="167"/>
      <c r="E18" s="167"/>
      <c r="F18" s="167"/>
      <c r="G18" s="167"/>
      <c r="H18" s="167"/>
      <c r="I18" s="167"/>
      <c r="J18" s="167"/>
      <c r="K18" s="167"/>
      <c r="L18" s="167"/>
      <c r="M18" s="167"/>
      <c r="N18" s="167"/>
      <c r="O18" s="167"/>
      <c r="P18" s="167"/>
      <c r="Q18" s="167"/>
      <c r="R18" s="167"/>
      <c r="S18" s="167"/>
      <c r="T18" s="167"/>
      <c r="U18" s="167"/>
      <c r="V18" s="167">
        <f t="shared" si="0"/>
        <v>0</v>
      </c>
      <c r="W18" s="167">
        <f t="shared" si="1"/>
        <v>0</v>
      </c>
      <c r="X18" s="167">
        <f t="shared" si="1"/>
        <v>0</v>
      </c>
    </row>
    <row r="19" spans="1:24" ht="21.75" customHeight="1" x14ac:dyDescent="0.25">
      <c r="A19" s="25" t="s">
        <v>201</v>
      </c>
      <c r="B19" s="28" t="s">
        <v>238</v>
      </c>
      <c r="C19" s="26" t="s">
        <v>210</v>
      </c>
      <c r="D19" s="167"/>
      <c r="E19" s="167"/>
      <c r="F19" s="167"/>
      <c r="G19" s="167"/>
      <c r="H19" s="167"/>
      <c r="I19" s="167"/>
      <c r="J19" s="167"/>
      <c r="K19" s="167"/>
      <c r="L19" s="167"/>
      <c r="M19" s="167"/>
      <c r="N19" s="167"/>
      <c r="O19" s="167"/>
      <c r="P19" s="167"/>
      <c r="Q19" s="167"/>
      <c r="R19" s="167"/>
      <c r="S19" s="167"/>
      <c r="T19" s="167"/>
      <c r="U19" s="167"/>
      <c r="V19" s="167">
        <f t="shared" si="0"/>
        <v>0</v>
      </c>
      <c r="W19" s="167">
        <f t="shared" si="1"/>
        <v>0</v>
      </c>
      <c r="X19" s="167">
        <f t="shared" si="1"/>
        <v>0</v>
      </c>
    </row>
    <row r="20" spans="1:24" ht="21.75" customHeight="1" x14ac:dyDescent="0.25">
      <c r="A20" s="25" t="s">
        <v>228</v>
      </c>
      <c r="B20" s="29" t="s">
        <v>532</v>
      </c>
      <c r="C20" s="26"/>
      <c r="D20" s="167"/>
      <c r="E20" s="167"/>
      <c r="F20" s="167"/>
      <c r="G20" s="167"/>
      <c r="H20" s="167"/>
      <c r="I20" s="167"/>
      <c r="J20" s="167"/>
      <c r="K20" s="167"/>
      <c r="L20" s="167"/>
      <c r="M20" s="167"/>
      <c r="N20" s="167"/>
      <c r="O20" s="167"/>
      <c r="P20" s="167"/>
      <c r="Q20" s="167"/>
      <c r="R20" s="167"/>
      <c r="S20" s="167"/>
      <c r="T20" s="167"/>
      <c r="U20" s="167"/>
      <c r="V20" s="167">
        <f t="shared" si="0"/>
        <v>0</v>
      </c>
      <c r="W20" s="167">
        <f t="shared" si="1"/>
        <v>0</v>
      </c>
      <c r="X20" s="167">
        <f t="shared" si="1"/>
        <v>0</v>
      </c>
    </row>
    <row r="21" spans="1:24" ht="21.75" customHeight="1" x14ac:dyDescent="0.25">
      <c r="A21" s="25" t="s">
        <v>229</v>
      </c>
      <c r="B21" s="31" t="s">
        <v>239</v>
      </c>
      <c r="C21" s="26" t="s">
        <v>211</v>
      </c>
      <c r="D21" s="167">
        <f>+D9+D10+D11+D12+D13+D17+D18+D19</f>
        <v>49000</v>
      </c>
      <c r="E21" s="167">
        <f t="shared" ref="E21:X21" si="3">+E9+E10+E11+E12+E13+E17+E18+E19</f>
        <v>5540351</v>
      </c>
      <c r="F21" s="167">
        <f t="shared" si="3"/>
        <v>5540351</v>
      </c>
      <c r="G21" s="167">
        <f t="shared" si="3"/>
        <v>366236231</v>
      </c>
      <c r="H21" s="167">
        <f t="shared" si="3"/>
        <v>387545865</v>
      </c>
      <c r="I21" s="167">
        <f t="shared" si="3"/>
        <v>331276182</v>
      </c>
      <c r="J21" s="167">
        <f t="shared" si="3"/>
        <v>149517771</v>
      </c>
      <c r="K21" s="167">
        <f t="shared" si="3"/>
        <v>156473927</v>
      </c>
      <c r="L21" s="167">
        <f t="shared" si="3"/>
        <v>137457017</v>
      </c>
      <c r="M21" s="167">
        <f t="shared" si="3"/>
        <v>623200</v>
      </c>
      <c r="N21" s="167">
        <f t="shared" si="3"/>
        <v>717447</v>
      </c>
      <c r="O21" s="167">
        <f t="shared" si="3"/>
        <v>182187</v>
      </c>
      <c r="P21" s="167">
        <f t="shared" si="3"/>
        <v>0</v>
      </c>
      <c r="Q21" s="167">
        <f t="shared" si="3"/>
        <v>0</v>
      </c>
      <c r="R21" s="167">
        <f t="shared" si="3"/>
        <v>0</v>
      </c>
      <c r="S21" s="167">
        <f t="shared" si="3"/>
        <v>0</v>
      </c>
      <c r="T21" s="167">
        <f t="shared" si="3"/>
        <v>850000</v>
      </c>
      <c r="U21" s="167">
        <f t="shared" si="3"/>
        <v>600372</v>
      </c>
      <c r="V21" s="168">
        <f t="shared" si="3"/>
        <v>516426202</v>
      </c>
      <c r="W21" s="168">
        <f t="shared" si="3"/>
        <v>551127590</v>
      </c>
      <c r="X21" s="168">
        <f t="shared" si="3"/>
        <v>475056109</v>
      </c>
    </row>
    <row r="22" spans="1:24" ht="21.75" customHeight="1" x14ac:dyDescent="0.25">
      <c r="A22" s="25" t="s">
        <v>230</v>
      </c>
      <c r="B22" s="31" t="s">
        <v>224</v>
      </c>
      <c r="C22" s="26" t="s">
        <v>220</v>
      </c>
      <c r="D22" s="167">
        <f>SUM(D23:D26)</f>
        <v>0</v>
      </c>
      <c r="E22" s="167">
        <f t="shared" ref="E22:X22" si="4">SUM(E23:E26)</f>
        <v>0</v>
      </c>
      <c r="F22" s="167">
        <f t="shared" si="4"/>
        <v>0</v>
      </c>
      <c r="G22" s="167">
        <f t="shared" si="4"/>
        <v>0</v>
      </c>
      <c r="H22" s="167">
        <f t="shared" si="4"/>
        <v>0</v>
      </c>
      <c r="I22" s="167">
        <f t="shared" si="4"/>
        <v>0</v>
      </c>
      <c r="J22" s="167">
        <f t="shared" si="4"/>
        <v>0</v>
      </c>
      <c r="K22" s="167">
        <f t="shared" si="4"/>
        <v>0</v>
      </c>
      <c r="L22" s="167">
        <f t="shared" si="4"/>
        <v>0</v>
      </c>
      <c r="M22" s="167">
        <f t="shared" si="4"/>
        <v>0</v>
      </c>
      <c r="N22" s="167">
        <f t="shared" si="4"/>
        <v>0</v>
      </c>
      <c r="O22" s="167">
        <f t="shared" si="4"/>
        <v>0</v>
      </c>
      <c r="P22" s="167">
        <f t="shared" si="4"/>
        <v>0</v>
      </c>
      <c r="Q22" s="167">
        <f t="shared" si="4"/>
        <v>0</v>
      </c>
      <c r="R22" s="167">
        <f t="shared" si="4"/>
        <v>0</v>
      </c>
      <c r="S22" s="167">
        <f t="shared" si="4"/>
        <v>0</v>
      </c>
      <c r="T22" s="167">
        <f t="shared" si="4"/>
        <v>0</v>
      </c>
      <c r="U22" s="167">
        <f t="shared" si="4"/>
        <v>0</v>
      </c>
      <c r="V22" s="167">
        <f t="shared" si="4"/>
        <v>0</v>
      </c>
      <c r="W22" s="167">
        <f t="shared" si="4"/>
        <v>0</v>
      </c>
      <c r="X22" s="167">
        <f t="shared" si="4"/>
        <v>0</v>
      </c>
    </row>
    <row r="23" spans="1:24" ht="21.75" customHeight="1" x14ac:dyDescent="0.25">
      <c r="A23" s="25" t="s">
        <v>231</v>
      </c>
      <c r="B23" s="90" t="s">
        <v>179</v>
      </c>
      <c r="C23" s="30"/>
      <c r="D23" s="167"/>
      <c r="E23" s="167"/>
      <c r="F23" s="167"/>
      <c r="G23" s="167"/>
      <c r="H23" s="167"/>
      <c r="I23" s="167"/>
      <c r="J23" s="167"/>
      <c r="K23" s="167"/>
      <c r="L23" s="167"/>
      <c r="M23" s="167"/>
      <c r="N23" s="167"/>
      <c r="O23" s="167"/>
      <c r="P23" s="167"/>
      <c r="Q23" s="167"/>
      <c r="R23" s="167"/>
      <c r="S23" s="167"/>
      <c r="T23" s="167"/>
      <c r="U23" s="167"/>
      <c r="V23" s="167">
        <f t="shared" si="0"/>
        <v>0</v>
      </c>
      <c r="W23" s="167">
        <f t="shared" si="1"/>
        <v>0</v>
      </c>
      <c r="X23" s="167">
        <f t="shared" si="1"/>
        <v>0</v>
      </c>
    </row>
    <row r="24" spans="1:24" ht="21.75" customHeight="1" x14ac:dyDescent="0.25">
      <c r="A24" s="25" t="s">
        <v>232</v>
      </c>
      <c r="B24" s="32" t="s">
        <v>520</v>
      </c>
      <c r="C24" s="30"/>
      <c r="D24" s="167"/>
      <c r="E24" s="167"/>
      <c r="F24" s="167"/>
      <c r="G24" s="167"/>
      <c r="H24" s="167"/>
      <c r="I24" s="167"/>
      <c r="J24" s="167"/>
      <c r="K24" s="167"/>
      <c r="L24" s="167"/>
      <c r="M24" s="167"/>
      <c r="N24" s="167"/>
      <c r="O24" s="167"/>
      <c r="P24" s="167"/>
      <c r="Q24" s="167"/>
      <c r="R24" s="167"/>
      <c r="S24" s="167"/>
      <c r="T24" s="167"/>
      <c r="U24" s="167"/>
      <c r="V24" s="167">
        <f t="shared" si="0"/>
        <v>0</v>
      </c>
      <c r="W24" s="167">
        <f t="shared" si="1"/>
        <v>0</v>
      </c>
      <c r="X24" s="167">
        <f t="shared" si="1"/>
        <v>0</v>
      </c>
    </row>
    <row r="25" spans="1:24" ht="21.75" customHeight="1" x14ac:dyDescent="0.25">
      <c r="A25" s="25" t="s">
        <v>233</v>
      </c>
      <c r="B25" s="32" t="s">
        <v>521</v>
      </c>
      <c r="C25" s="30"/>
      <c r="D25" s="167"/>
      <c r="E25" s="167"/>
      <c r="F25" s="167"/>
      <c r="G25" s="167"/>
      <c r="H25" s="167"/>
      <c r="I25" s="167"/>
      <c r="J25" s="167"/>
      <c r="K25" s="167"/>
      <c r="L25" s="167"/>
      <c r="M25" s="167"/>
      <c r="N25" s="167"/>
      <c r="O25" s="167"/>
      <c r="P25" s="167"/>
      <c r="Q25" s="167"/>
      <c r="R25" s="167"/>
      <c r="S25" s="167"/>
      <c r="T25" s="167"/>
      <c r="U25" s="167"/>
      <c r="V25" s="167">
        <f t="shared" si="0"/>
        <v>0</v>
      </c>
      <c r="W25" s="167">
        <f t="shared" si="1"/>
        <v>0</v>
      </c>
      <c r="X25" s="167">
        <f t="shared" si="1"/>
        <v>0</v>
      </c>
    </row>
    <row r="26" spans="1:24" ht="21.75" customHeight="1" x14ac:dyDescent="0.25">
      <c r="A26" s="25" t="s">
        <v>234</v>
      </c>
      <c r="B26" s="32" t="s">
        <v>123</v>
      </c>
      <c r="C26" s="30"/>
      <c r="D26" s="167"/>
      <c r="E26" s="167"/>
      <c r="F26" s="167"/>
      <c r="G26" s="167"/>
      <c r="H26" s="167"/>
      <c r="I26" s="167"/>
      <c r="J26" s="167"/>
      <c r="K26" s="167"/>
      <c r="L26" s="167"/>
      <c r="M26" s="167"/>
      <c r="N26" s="167"/>
      <c r="O26" s="167"/>
      <c r="P26" s="167"/>
      <c r="Q26" s="167"/>
      <c r="R26" s="167"/>
      <c r="S26" s="167"/>
      <c r="T26" s="167"/>
      <c r="U26" s="167"/>
      <c r="V26" s="167">
        <f t="shared" si="0"/>
        <v>0</v>
      </c>
      <c r="W26" s="167">
        <f t="shared" si="1"/>
        <v>0</v>
      </c>
      <c r="X26" s="167">
        <f t="shared" si="1"/>
        <v>0</v>
      </c>
    </row>
    <row r="27" spans="1:24" ht="21.75" customHeight="1" x14ac:dyDescent="0.25">
      <c r="A27" s="25" t="s">
        <v>235</v>
      </c>
      <c r="B27" s="222" t="s">
        <v>742</v>
      </c>
      <c r="C27" s="30"/>
      <c r="D27" s="167"/>
      <c r="E27" s="167"/>
      <c r="F27" s="167"/>
      <c r="G27" s="167"/>
      <c r="H27" s="167"/>
      <c r="I27" s="167"/>
      <c r="J27" s="167"/>
      <c r="K27" s="167"/>
      <c r="L27" s="167"/>
      <c r="M27" s="167"/>
      <c r="N27" s="167"/>
      <c r="O27" s="167"/>
      <c r="P27" s="167"/>
      <c r="Q27" s="167"/>
      <c r="R27" s="167"/>
      <c r="S27" s="167"/>
      <c r="T27" s="167"/>
      <c r="U27" s="167"/>
      <c r="V27" s="167">
        <f t="shared" si="0"/>
        <v>0</v>
      </c>
      <c r="W27" s="167">
        <f t="shared" si="1"/>
        <v>0</v>
      </c>
      <c r="X27" s="167">
        <f t="shared" si="1"/>
        <v>0</v>
      </c>
    </row>
    <row r="28" spans="1:24" s="35" customFormat="1" ht="21.75" customHeight="1" x14ac:dyDescent="0.25">
      <c r="A28" s="25" t="s">
        <v>236</v>
      </c>
      <c r="B28" s="33" t="s">
        <v>32</v>
      </c>
      <c r="C28" s="26"/>
      <c r="D28" s="168">
        <f>+D9+D10+D11+D12+D13+D23+D24</f>
        <v>49000</v>
      </c>
      <c r="E28" s="168">
        <f t="shared" ref="E28:X28" si="5">+E9+E10+E11+E12+E13+E23+E24</f>
        <v>5540351</v>
      </c>
      <c r="F28" s="168">
        <f t="shared" si="5"/>
        <v>5540351</v>
      </c>
      <c r="G28" s="168">
        <f t="shared" si="5"/>
        <v>365060211</v>
      </c>
      <c r="H28" s="168">
        <f t="shared" si="5"/>
        <v>383166145</v>
      </c>
      <c r="I28" s="168">
        <f t="shared" si="5"/>
        <v>327429540</v>
      </c>
      <c r="J28" s="168">
        <f t="shared" si="5"/>
        <v>149111371</v>
      </c>
      <c r="K28" s="168">
        <f t="shared" si="5"/>
        <v>155497460</v>
      </c>
      <c r="L28" s="168">
        <f t="shared" si="5"/>
        <v>136589210</v>
      </c>
      <c r="M28" s="168">
        <f t="shared" si="5"/>
        <v>523200</v>
      </c>
      <c r="N28" s="168">
        <f t="shared" si="5"/>
        <v>617447</v>
      </c>
      <c r="O28" s="168">
        <f t="shared" si="5"/>
        <v>100247</v>
      </c>
      <c r="P28" s="168">
        <f t="shared" si="5"/>
        <v>0</v>
      </c>
      <c r="Q28" s="168">
        <f t="shared" si="5"/>
        <v>0</v>
      </c>
      <c r="R28" s="168">
        <f t="shared" si="5"/>
        <v>0</v>
      </c>
      <c r="S28" s="168">
        <f t="shared" si="5"/>
        <v>0</v>
      </c>
      <c r="T28" s="168">
        <f t="shared" si="5"/>
        <v>850000</v>
      </c>
      <c r="U28" s="168">
        <f t="shared" si="5"/>
        <v>600372</v>
      </c>
      <c r="V28" s="168">
        <f t="shared" si="5"/>
        <v>514743782</v>
      </c>
      <c r="W28" s="168">
        <f t="shared" si="5"/>
        <v>545671403</v>
      </c>
      <c r="X28" s="168">
        <f t="shared" si="5"/>
        <v>470259720</v>
      </c>
    </row>
    <row r="29" spans="1:24" s="35" customFormat="1" ht="21.75" customHeight="1" x14ac:dyDescent="0.25">
      <c r="A29" s="25" t="s">
        <v>261</v>
      </c>
      <c r="B29" s="33" t="s">
        <v>33</v>
      </c>
      <c r="C29" s="26"/>
      <c r="D29" s="168">
        <f>+D17+D18+D19+D25+D26</f>
        <v>0</v>
      </c>
      <c r="E29" s="168">
        <f t="shared" ref="E29:X29" si="6">+E17+E18+E19+E25+E26</f>
        <v>0</v>
      </c>
      <c r="F29" s="168">
        <f t="shared" si="6"/>
        <v>0</v>
      </c>
      <c r="G29" s="168">
        <f t="shared" si="6"/>
        <v>1176020</v>
      </c>
      <c r="H29" s="168">
        <f t="shared" si="6"/>
        <v>4379720</v>
      </c>
      <c r="I29" s="168">
        <f t="shared" si="6"/>
        <v>3846642</v>
      </c>
      <c r="J29" s="168">
        <f t="shared" si="6"/>
        <v>406400</v>
      </c>
      <c r="K29" s="168">
        <f t="shared" si="6"/>
        <v>976467</v>
      </c>
      <c r="L29" s="168">
        <f t="shared" si="6"/>
        <v>867807</v>
      </c>
      <c r="M29" s="168">
        <f t="shared" si="6"/>
        <v>100000</v>
      </c>
      <c r="N29" s="168">
        <f t="shared" si="6"/>
        <v>100000</v>
      </c>
      <c r="O29" s="168">
        <f t="shared" si="6"/>
        <v>81940</v>
      </c>
      <c r="P29" s="168">
        <f t="shared" si="6"/>
        <v>0</v>
      </c>
      <c r="Q29" s="168">
        <f t="shared" si="6"/>
        <v>0</v>
      </c>
      <c r="R29" s="168">
        <f t="shared" si="6"/>
        <v>0</v>
      </c>
      <c r="S29" s="168">
        <f t="shared" si="6"/>
        <v>0</v>
      </c>
      <c r="T29" s="168">
        <f t="shared" si="6"/>
        <v>0</v>
      </c>
      <c r="U29" s="168">
        <f t="shared" si="6"/>
        <v>0</v>
      </c>
      <c r="V29" s="168">
        <f t="shared" si="6"/>
        <v>1682420</v>
      </c>
      <c r="W29" s="168">
        <f t="shared" si="6"/>
        <v>5456187</v>
      </c>
      <c r="X29" s="168">
        <f t="shared" si="6"/>
        <v>4796389</v>
      </c>
    </row>
    <row r="30" spans="1:24" s="35" customFormat="1" ht="21.75" customHeight="1" x14ac:dyDescent="0.25">
      <c r="A30" s="25" t="s">
        <v>262</v>
      </c>
      <c r="B30" s="33" t="s">
        <v>328</v>
      </c>
      <c r="C30" s="26" t="s">
        <v>31</v>
      </c>
      <c r="D30" s="168">
        <f>SUM(D28:D29)</f>
        <v>49000</v>
      </c>
      <c r="E30" s="168">
        <f t="shared" ref="E30:X30" si="7">SUM(E28:E29)</f>
        <v>5540351</v>
      </c>
      <c r="F30" s="168">
        <f t="shared" si="7"/>
        <v>5540351</v>
      </c>
      <c r="G30" s="168">
        <f t="shared" si="7"/>
        <v>366236231</v>
      </c>
      <c r="H30" s="168">
        <f t="shared" si="7"/>
        <v>387545865</v>
      </c>
      <c r="I30" s="168">
        <f t="shared" si="7"/>
        <v>331276182</v>
      </c>
      <c r="J30" s="168">
        <f t="shared" si="7"/>
        <v>149517771</v>
      </c>
      <c r="K30" s="168">
        <f t="shared" si="7"/>
        <v>156473927</v>
      </c>
      <c r="L30" s="168">
        <f t="shared" si="7"/>
        <v>137457017</v>
      </c>
      <c r="M30" s="168">
        <f t="shared" si="7"/>
        <v>623200</v>
      </c>
      <c r="N30" s="168">
        <f t="shared" si="7"/>
        <v>717447</v>
      </c>
      <c r="O30" s="168">
        <f t="shared" si="7"/>
        <v>182187</v>
      </c>
      <c r="P30" s="168">
        <f t="shared" si="7"/>
        <v>0</v>
      </c>
      <c r="Q30" s="168">
        <f t="shared" si="7"/>
        <v>0</v>
      </c>
      <c r="R30" s="168">
        <f t="shared" si="7"/>
        <v>0</v>
      </c>
      <c r="S30" s="168">
        <f t="shared" si="7"/>
        <v>0</v>
      </c>
      <c r="T30" s="168">
        <f t="shared" si="7"/>
        <v>850000</v>
      </c>
      <c r="U30" s="168">
        <f t="shared" si="7"/>
        <v>600372</v>
      </c>
      <c r="V30" s="168">
        <f t="shared" si="7"/>
        <v>516426202</v>
      </c>
      <c r="W30" s="168">
        <f t="shared" si="7"/>
        <v>551127590</v>
      </c>
      <c r="X30" s="168">
        <f t="shared" si="7"/>
        <v>475056109</v>
      </c>
    </row>
    <row r="31" spans="1:24" ht="21.75" customHeight="1" x14ac:dyDescent="0.25">
      <c r="A31" s="25" t="s">
        <v>263</v>
      </c>
      <c r="B31" s="27" t="s">
        <v>52</v>
      </c>
      <c r="C31" s="31" t="s">
        <v>212</v>
      </c>
      <c r="D31" s="167"/>
      <c r="E31" s="167"/>
      <c r="F31" s="167"/>
      <c r="G31" s="167"/>
      <c r="H31" s="167"/>
      <c r="I31" s="167"/>
      <c r="J31" s="167"/>
      <c r="K31" s="167"/>
      <c r="L31" s="167"/>
      <c r="M31" s="167"/>
      <c r="N31" s="167"/>
      <c r="O31" s="167"/>
      <c r="P31" s="167"/>
      <c r="Q31" s="167"/>
      <c r="R31" s="167"/>
      <c r="S31" s="167"/>
      <c r="T31" s="167">
        <v>350000</v>
      </c>
      <c r="U31" s="167">
        <v>350000</v>
      </c>
      <c r="V31" s="167">
        <f t="shared" si="0"/>
        <v>0</v>
      </c>
      <c r="W31" s="167">
        <f t="shared" si="1"/>
        <v>350000</v>
      </c>
      <c r="X31" s="167">
        <f t="shared" si="1"/>
        <v>350000</v>
      </c>
    </row>
    <row r="32" spans="1:24" ht="21.75" customHeight="1" x14ac:dyDescent="0.25">
      <c r="A32" s="25" t="s">
        <v>264</v>
      </c>
      <c r="B32" s="27" t="s">
        <v>223</v>
      </c>
      <c r="C32" s="31" t="s">
        <v>213</v>
      </c>
      <c r="D32" s="167"/>
      <c r="E32" s="167"/>
      <c r="F32" s="167"/>
      <c r="G32" s="167"/>
      <c r="H32" s="167"/>
      <c r="I32" s="167"/>
      <c r="J32" s="167"/>
      <c r="K32" s="167"/>
      <c r="L32" s="167"/>
      <c r="M32" s="167"/>
      <c r="N32" s="167"/>
      <c r="O32" s="167"/>
      <c r="P32" s="167"/>
      <c r="Q32" s="167"/>
      <c r="R32" s="167"/>
      <c r="S32" s="167"/>
      <c r="T32" s="167"/>
      <c r="U32" s="167"/>
      <c r="V32" s="167">
        <f t="shared" si="0"/>
        <v>0</v>
      </c>
      <c r="W32" s="167">
        <f t="shared" si="1"/>
        <v>0</v>
      </c>
      <c r="X32" s="167">
        <f t="shared" si="1"/>
        <v>0</v>
      </c>
    </row>
    <row r="33" spans="1:24" ht="21.75" customHeight="1" x14ac:dyDescent="0.25">
      <c r="A33" s="25" t="s">
        <v>265</v>
      </c>
      <c r="B33" s="27" t="s">
        <v>222</v>
      </c>
      <c r="C33" s="31" t="s">
        <v>214</v>
      </c>
      <c r="D33" s="167"/>
      <c r="E33" s="167"/>
      <c r="F33" s="167"/>
      <c r="G33" s="167"/>
      <c r="H33" s="167"/>
      <c r="I33" s="167"/>
      <c r="J33" s="167"/>
      <c r="K33" s="167"/>
      <c r="L33" s="167"/>
      <c r="M33" s="167"/>
      <c r="N33" s="167"/>
      <c r="O33" s="167"/>
      <c r="P33" s="167"/>
      <c r="Q33" s="167"/>
      <c r="R33" s="167"/>
      <c r="S33" s="167"/>
      <c r="T33" s="167"/>
      <c r="U33" s="167"/>
      <c r="V33" s="167">
        <f t="shared" si="0"/>
        <v>0</v>
      </c>
      <c r="W33" s="167">
        <f t="shared" si="1"/>
        <v>0</v>
      </c>
      <c r="X33" s="167">
        <f t="shared" si="1"/>
        <v>0</v>
      </c>
    </row>
    <row r="34" spans="1:24" ht="21.75" customHeight="1" x14ac:dyDescent="0.25">
      <c r="A34" s="25" t="s">
        <v>266</v>
      </c>
      <c r="B34" s="28" t="s">
        <v>0</v>
      </c>
      <c r="C34" s="31" t="s">
        <v>215</v>
      </c>
      <c r="D34" s="167"/>
      <c r="E34" s="167"/>
      <c r="F34" s="167"/>
      <c r="G34" s="167">
        <v>450020</v>
      </c>
      <c r="H34" s="167">
        <v>2074821</v>
      </c>
      <c r="I34" s="167">
        <v>1943821</v>
      </c>
      <c r="J34" s="167"/>
      <c r="K34" s="167"/>
      <c r="L34" s="167"/>
      <c r="M34" s="167"/>
      <c r="N34" s="167"/>
      <c r="O34" s="167"/>
      <c r="P34" s="167">
        <v>49000</v>
      </c>
      <c r="Q34" s="167">
        <f>49000-49000</f>
        <v>0</v>
      </c>
      <c r="R34" s="167"/>
      <c r="S34" s="167"/>
      <c r="T34" s="167"/>
      <c r="U34" s="167"/>
      <c r="V34" s="167">
        <f t="shared" si="0"/>
        <v>499020</v>
      </c>
      <c r="W34" s="167">
        <f t="shared" si="1"/>
        <v>2074821</v>
      </c>
      <c r="X34" s="167">
        <f t="shared" si="1"/>
        <v>1943821</v>
      </c>
    </row>
    <row r="35" spans="1:24" ht="21.75" customHeight="1" x14ac:dyDescent="0.25">
      <c r="A35" s="25" t="s">
        <v>267</v>
      </c>
      <c r="B35" s="27" t="s">
        <v>245</v>
      </c>
      <c r="C35" s="31" t="s">
        <v>216</v>
      </c>
      <c r="D35" s="167"/>
      <c r="E35" s="167"/>
      <c r="F35" s="167"/>
      <c r="G35" s="167"/>
      <c r="H35" s="167"/>
      <c r="I35" s="167"/>
      <c r="J35" s="167"/>
      <c r="K35" s="167"/>
      <c r="L35" s="167"/>
      <c r="M35" s="167"/>
      <c r="N35" s="167"/>
      <c r="O35" s="167"/>
      <c r="P35" s="167"/>
      <c r="Q35" s="167"/>
      <c r="R35" s="167"/>
      <c r="S35" s="167"/>
      <c r="T35" s="167"/>
      <c r="U35" s="167"/>
      <c r="V35" s="167">
        <f t="shared" si="0"/>
        <v>0</v>
      </c>
      <c r="W35" s="167">
        <f t="shared" si="1"/>
        <v>0</v>
      </c>
      <c r="X35" s="167">
        <f t="shared" si="1"/>
        <v>0</v>
      </c>
    </row>
    <row r="36" spans="1:24" ht="21.75" customHeight="1" x14ac:dyDescent="0.25">
      <c r="A36" s="25" t="s">
        <v>268</v>
      </c>
      <c r="B36" s="27" t="s">
        <v>240</v>
      </c>
      <c r="C36" s="31" t="s">
        <v>217</v>
      </c>
      <c r="D36" s="167"/>
      <c r="E36" s="167"/>
      <c r="F36" s="167"/>
      <c r="G36" s="167"/>
      <c r="H36" s="167"/>
      <c r="I36" s="167"/>
      <c r="J36" s="167"/>
      <c r="K36" s="167"/>
      <c r="L36" s="167"/>
      <c r="M36" s="167"/>
      <c r="N36" s="167"/>
      <c r="O36" s="167"/>
      <c r="P36" s="167"/>
      <c r="Q36" s="167"/>
      <c r="R36" s="167"/>
      <c r="S36" s="167"/>
      <c r="T36" s="167"/>
      <c r="U36" s="167"/>
      <c r="V36" s="167">
        <f t="shared" si="0"/>
        <v>0</v>
      </c>
      <c r="W36" s="167">
        <f t="shared" si="1"/>
        <v>0</v>
      </c>
      <c r="X36" s="167">
        <f t="shared" si="1"/>
        <v>0</v>
      </c>
    </row>
    <row r="37" spans="1:24" ht="21.75" customHeight="1" x14ac:dyDescent="0.25">
      <c r="A37" s="25" t="s">
        <v>269</v>
      </c>
      <c r="B37" s="27" t="s">
        <v>241</v>
      </c>
      <c r="C37" s="31" t="s">
        <v>218</v>
      </c>
      <c r="D37" s="167"/>
      <c r="E37" s="167"/>
      <c r="F37" s="167"/>
      <c r="G37" s="167"/>
      <c r="H37" s="167"/>
      <c r="I37" s="167"/>
      <c r="J37" s="167"/>
      <c r="K37" s="167"/>
      <c r="L37" s="167"/>
      <c r="M37" s="167"/>
      <c r="N37" s="167"/>
      <c r="O37" s="167"/>
      <c r="P37" s="167"/>
      <c r="Q37" s="167"/>
      <c r="R37" s="167"/>
      <c r="S37" s="167"/>
      <c r="T37" s="167"/>
      <c r="U37" s="167"/>
      <c r="V37" s="167">
        <f t="shared" si="0"/>
        <v>0</v>
      </c>
      <c r="W37" s="167">
        <f t="shared" si="1"/>
        <v>0</v>
      </c>
      <c r="X37" s="167">
        <f t="shared" si="1"/>
        <v>0</v>
      </c>
    </row>
    <row r="38" spans="1:24" ht="21.75" customHeight="1" x14ac:dyDescent="0.25">
      <c r="A38" s="25" t="s">
        <v>270</v>
      </c>
      <c r="B38" s="28" t="s">
        <v>242</v>
      </c>
      <c r="C38" s="31" t="s">
        <v>219</v>
      </c>
      <c r="D38" s="167">
        <f>+D31+D32+D33+D34+D35+D36+D37</f>
        <v>0</v>
      </c>
      <c r="E38" s="167">
        <f t="shared" ref="E38:X38" si="8">+E31+E32+E33+E34+E35+E36+E37</f>
        <v>0</v>
      </c>
      <c r="F38" s="167">
        <f t="shared" si="8"/>
        <v>0</v>
      </c>
      <c r="G38" s="167">
        <f t="shared" si="8"/>
        <v>450020</v>
      </c>
      <c r="H38" s="167">
        <f t="shared" si="8"/>
        <v>2074821</v>
      </c>
      <c r="I38" s="167">
        <f t="shared" si="8"/>
        <v>1943821</v>
      </c>
      <c r="J38" s="167">
        <f t="shared" si="8"/>
        <v>0</v>
      </c>
      <c r="K38" s="167">
        <f t="shared" si="8"/>
        <v>0</v>
      </c>
      <c r="L38" s="167">
        <f t="shared" si="8"/>
        <v>0</v>
      </c>
      <c r="M38" s="167">
        <f t="shared" si="8"/>
        <v>0</v>
      </c>
      <c r="N38" s="167">
        <f t="shared" si="8"/>
        <v>0</v>
      </c>
      <c r="O38" s="167">
        <f t="shared" si="8"/>
        <v>0</v>
      </c>
      <c r="P38" s="167">
        <f t="shared" si="8"/>
        <v>49000</v>
      </c>
      <c r="Q38" s="167">
        <f t="shared" si="8"/>
        <v>0</v>
      </c>
      <c r="R38" s="167">
        <f t="shared" si="8"/>
        <v>0</v>
      </c>
      <c r="S38" s="167">
        <f t="shared" si="8"/>
        <v>0</v>
      </c>
      <c r="T38" s="167">
        <f t="shared" si="8"/>
        <v>350000</v>
      </c>
      <c r="U38" s="167">
        <f t="shared" si="8"/>
        <v>350000</v>
      </c>
      <c r="V38" s="168">
        <f t="shared" si="8"/>
        <v>499020</v>
      </c>
      <c r="W38" s="168">
        <f t="shared" si="8"/>
        <v>2424821</v>
      </c>
      <c r="X38" s="168">
        <f t="shared" si="8"/>
        <v>2293821</v>
      </c>
    </row>
    <row r="39" spans="1:24" ht="21.75" customHeight="1" x14ac:dyDescent="0.25">
      <c r="A39" s="25" t="s">
        <v>271</v>
      </c>
      <c r="B39" s="31" t="s">
        <v>243</v>
      </c>
      <c r="C39" s="26" t="s">
        <v>221</v>
      </c>
      <c r="D39" s="167">
        <f>SUM(D41:D45)</f>
        <v>515927182</v>
      </c>
      <c r="E39" s="167">
        <f t="shared" ref="E39:X39" si="9">SUM(E41:E45)</f>
        <v>548702769</v>
      </c>
      <c r="F39" s="167">
        <f t="shared" si="9"/>
        <v>481896822</v>
      </c>
      <c r="G39" s="167">
        <f t="shared" si="9"/>
        <v>0</v>
      </c>
      <c r="H39" s="167">
        <f t="shared" si="9"/>
        <v>0</v>
      </c>
      <c r="I39" s="167">
        <f t="shared" si="9"/>
        <v>0</v>
      </c>
      <c r="J39" s="167">
        <f t="shared" si="9"/>
        <v>0</v>
      </c>
      <c r="K39" s="167">
        <f t="shared" si="9"/>
        <v>0</v>
      </c>
      <c r="L39" s="167">
        <f t="shared" si="9"/>
        <v>0</v>
      </c>
      <c r="M39" s="167">
        <f t="shared" si="9"/>
        <v>0</v>
      </c>
      <c r="N39" s="167">
        <f t="shared" si="9"/>
        <v>0</v>
      </c>
      <c r="O39" s="167">
        <f t="shared" si="9"/>
        <v>0</v>
      </c>
      <c r="P39" s="167">
        <f t="shared" si="9"/>
        <v>0</v>
      </c>
      <c r="Q39" s="167">
        <f t="shared" si="9"/>
        <v>0</v>
      </c>
      <c r="R39" s="167">
        <f t="shared" si="9"/>
        <v>0</v>
      </c>
      <c r="S39" s="167">
        <f t="shared" si="9"/>
        <v>0</v>
      </c>
      <c r="T39" s="167">
        <f t="shared" si="9"/>
        <v>0</v>
      </c>
      <c r="U39" s="167">
        <f t="shared" si="9"/>
        <v>0</v>
      </c>
      <c r="V39" s="167">
        <f t="shared" si="9"/>
        <v>515927182</v>
      </c>
      <c r="W39" s="167">
        <f t="shared" si="9"/>
        <v>548702769</v>
      </c>
      <c r="X39" s="167">
        <f t="shared" si="9"/>
        <v>481896822</v>
      </c>
    </row>
    <row r="40" spans="1:24" ht="21.75" customHeight="1" x14ac:dyDescent="0.25">
      <c r="A40" s="25" t="s">
        <v>272</v>
      </c>
      <c r="B40" s="90" t="s">
        <v>533</v>
      </c>
      <c r="C40" s="26"/>
      <c r="D40" s="167"/>
      <c r="E40" s="167"/>
      <c r="F40" s="167"/>
      <c r="G40" s="167"/>
      <c r="H40" s="167"/>
      <c r="I40" s="167"/>
      <c r="J40" s="167"/>
      <c r="K40" s="167"/>
      <c r="L40" s="167"/>
      <c r="M40" s="167"/>
      <c r="N40" s="167"/>
      <c r="O40" s="167"/>
      <c r="P40" s="167"/>
      <c r="Q40" s="167"/>
      <c r="R40" s="167"/>
      <c r="S40" s="167"/>
      <c r="T40" s="167"/>
      <c r="U40" s="167"/>
      <c r="V40" s="167">
        <f t="shared" si="0"/>
        <v>0</v>
      </c>
      <c r="W40" s="167">
        <f t="shared" si="1"/>
        <v>0</v>
      </c>
      <c r="X40" s="167">
        <f t="shared" si="1"/>
        <v>0</v>
      </c>
    </row>
    <row r="41" spans="1:24" ht="21.75" customHeight="1" x14ac:dyDescent="0.25">
      <c r="A41" s="25" t="s">
        <v>273</v>
      </c>
      <c r="B41" s="32" t="s">
        <v>768</v>
      </c>
      <c r="C41" s="30"/>
      <c r="D41" s="167">
        <f>22860+726432</f>
        <v>749292</v>
      </c>
      <c r="E41" s="167">
        <f>22860+726432+5540351</f>
        <v>6289643</v>
      </c>
      <c r="F41" s="167">
        <v>6289643</v>
      </c>
      <c r="G41" s="167"/>
      <c r="H41" s="167"/>
      <c r="I41" s="167"/>
      <c r="J41" s="167"/>
      <c r="K41" s="167"/>
      <c r="L41" s="167"/>
      <c r="M41" s="167"/>
      <c r="N41" s="167"/>
      <c r="O41" s="167"/>
      <c r="P41" s="167"/>
      <c r="Q41" s="167"/>
      <c r="R41" s="167"/>
      <c r="S41" s="167"/>
      <c r="T41" s="167"/>
      <c r="U41" s="167"/>
      <c r="V41" s="167">
        <f t="shared" si="0"/>
        <v>749292</v>
      </c>
      <c r="W41" s="167">
        <f t="shared" si="1"/>
        <v>6289643</v>
      </c>
      <c r="X41" s="167">
        <f t="shared" si="1"/>
        <v>6289643</v>
      </c>
    </row>
    <row r="42" spans="1:24" ht="21.75" customHeight="1" x14ac:dyDescent="0.25">
      <c r="A42" s="25" t="s">
        <v>277</v>
      </c>
      <c r="B42" s="32" t="s">
        <v>769</v>
      </c>
      <c r="C42" s="30"/>
      <c r="D42" s="167"/>
      <c r="E42" s="167"/>
      <c r="F42" s="167"/>
      <c r="G42" s="167"/>
      <c r="H42" s="167"/>
      <c r="I42" s="167"/>
      <c r="J42" s="167"/>
      <c r="K42" s="167"/>
      <c r="L42" s="167"/>
      <c r="M42" s="167"/>
      <c r="N42" s="167"/>
      <c r="O42" s="167"/>
      <c r="P42" s="167"/>
      <c r="Q42" s="167"/>
      <c r="R42" s="167"/>
      <c r="S42" s="167"/>
      <c r="T42" s="167"/>
      <c r="U42" s="167"/>
      <c r="V42" s="167">
        <f t="shared" si="0"/>
        <v>0</v>
      </c>
      <c r="W42" s="167">
        <f t="shared" si="1"/>
        <v>0</v>
      </c>
      <c r="X42" s="167">
        <f t="shared" si="1"/>
        <v>0</v>
      </c>
    </row>
    <row r="43" spans="1:24" ht="21.75" customHeight="1" x14ac:dyDescent="0.25">
      <c r="A43" s="25" t="s">
        <v>278</v>
      </c>
      <c r="B43" s="32" t="s">
        <v>506</v>
      </c>
      <c r="C43" s="30"/>
      <c r="D43" s="167">
        <f>V28-V31-V33-V34-V36-V41</f>
        <v>513495470</v>
      </c>
      <c r="E43" s="167">
        <f>W28-W31-W33-W34-W36-W41</f>
        <v>536956939</v>
      </c>
      <c r="F43" s="167">
        <f>475607179-F44</f>
        <v>470150992</v>
      </c>
      <c r="G43" s="167"/>
      <c r="H43" s="167"/>
      <c r="I43" s="167"/>
      <c r="J43" s="167"/>
      <c r="K43" s="167"/>
      <c r="L43" s="167"/>
      <c r="M43" s="167"/>
      <c r="N43" s="167"/>
      <c r="O43" s="167"/>
      <c r="P43" s="167"/>
      <c r="Q43" s="167"/>
      <c r="R43" s="167"/>
      <c r="S43" s="167"/>
      <c r="T43" s="167"/>
      <c r="U43" s="167"/>
      <c r="V43" s="167">
        <f t="shared" si="0"/>
        <v>513495470</v>
      </c>
      <c r="W43" s="167">
        <f t="shared" si="1"/>
        <v>536956939</v>
      </c>
      <c r="X43" s="167">
        <f t="shared" si="1"/>
        <v>470150992</v>
      </c>
    </row>
    <row r="44" spans="1:24" ht="21.75" customHeight="1" x14ac:dyDescent="0.25">
      <c r="A44" s="25" t="s">
        <v>279</v>
      </c>
      <c r="B44" s="32" t="s">
        <v>507</v>
      </c>
      <c r="C44" s="30"/>
      <c r="D44" s="167">
        <f>V29-V32-V35-V37-V42</f>
        <v>1682420</v>
      </c>
      <c r="E44" s="167">
        <f>W29-W32-W35-W37-W42</f>
        <v>5456187</v>
      </c>
      <c r="F44" s="167">
        <v>5456187</v>
      </c>
      <c r="G44" s="167"/>
      <c r="H44" s="167"/>
      <c r="I44" s="167"/>
      <c r="J44" s="167"/>
      <c r="K44" s="167"/>
      <c r="L44" s="167"/>
      <c r="M44" s="167"/>
      <c r="N44" s="167"/>
      <c r="O44" s="167"/>
      <c r="P44" s="167"/>
      <c r="Q44" s="167"/>
      <c r="R44" s="167"/>
      <c r="S44" s="167"/>
      <c r="T44" s="167"/>
      <c r="U44" s="167"/>
      <c r="V44" s="167">
        <f t="shared" si="0"/>
        <v>1682420</v>
      </c>
      <c r="W44" s="167">
        <f t="shared" si="1"/>
        <v>5456187</v>
      </c>
      <c r="X44" s="167">
        <f t="shared" si="1"/>
        <v>5456187</v>
      </c>
    </row>
    <row r="45" spans="1:24" ht="21.75" customHeight="1" x14ac:dyDescent="0.25">
      <c r="A45" s="25" t="s">
        <v>280</v>
      </c>
      <c r="B45" s="32" t="s">
        <v>542</v>
      </c>
      <c r="C45" s="30"/>
      <c r="D45" s="167"/>
      <c r="E45" s="167"/>
      <c r="F45" s="167"/>
      <c r="G45" s="167"/>
      <c r="H45" s="167"/>
      <c r="I45" s="167"/>
      <c r="J45" s="167"/>
      <c r="K45" s="167"/>
      <c r="L45" s="167"/>
      <c r="M45" s="167"/>
      <c r="N45" s="167"/>
      <c r="O45" s="167"/>
      <c r="P45" s="167"/>
      <c r="Q45" s="167"/>
      <c r="R45" s="167"/>
      <c r="S45" s="167"/>
      <c r="T45" s="167"/>
      <c r="U45" s="167"/>
      <c r="V45" s="167">
        <f t="shared" si="0"/>
        <v>0</v>
      </c>
      <c r="W45" s="167">
        <f t="shared" si="1"/>
        <v>0</v>
      </c>
      <c r="X45" s="167">
        <f t="shared" si="1"/>
        <v>0</v>
      </c>
    </row>
    <row r="46" spans="1:24" ht="21.75" customHeight="1" x14ac:dyDescent="0.25">
      <c r="A46" s="25" t="s">
        <v>281</v>
      </c>
      <c r="B46" s="222" t="s">
        <v>741</v>
      </c>
      <c r="C46" s="30"/>
      <c r="D46" s="167"/>
      <c r="E46" s="167"/>
      <c r="F46" s="167"/>
      <c r="G46" s="167"/>
      <c r="H46" s="167"/>
      <c r="I46" s="167"/>
      <c r="J46" s="167"/>
      <c r="K46" s="167"/>
      <c r="L46" s="167"/>
      <c r="M46" s="167"/>
      <c r="N46" s="167"/>
      <c r="O46" s="167"/>
      <c r="P46" s="167"/>
      <c r="Q46" s="167"/>
      <c r="R46" s="167"/>
      <c r="S46" s="167"/>
      <c r="T46" s="167"/>
      <c r="U46" s="167"/>
      <c r="V46" s="167">
        <f t="shared" si="0"/>
        <v>0</v>
      </c>
      <c r="W46" s="167">
        <f t="shared" si="1"/>
        <v>0</v>
      </c>
      <c r="X46" s="167">
        <f t="shared" si="1"/>
        <v>0</v>
      </c>
    </row>
    <row r="47" spans="1:24" s="35" customFormat="1" ht="21.75" customHeight="1" x14ac:dyDescent="0.25">
      <c r="A47" s="25" t="s">
        <v>282</v>
      </c>
      <c r="B47" s="33" t="s">
        <v>109</v>
      </c>
      <c r="C47" s="26"/>
      <c r="D47" s="168">
        <f>+D31+D33+D34+D36+D41+D43</f>
        <v>514244762</v>
      </c>
      <c r="E47" s="168">
        <f t="shared" ref="E47:X47" si="10">+E31+E33+E34+E36+E41+E43</f>
        <v>543246582</v>
      </c>
      <c r="F47" s="168">
        <f t="shared" si="10"/>
        <v>476440635</v>
      </c>
      <c r="G47" s="168">
        <f t="shared" si="10"/>
        <v>450020</v>
      </c>
      <c r="H47" s="168">
        <f t="shared" si="10"/>
        <v>2074821</v>
      </c>
      <c r="I47" s="168">
        <f t="shared" si="10"/>
        <v>1943821</v>
      </c>
      <c r="J47" s="168">
        <f t="shared" si="10"/>
        <v>0</v>
      </c>
      <c r="K47" s="168">
        <f t="shared" si="10"/>
        <v>0</v>
      </c>
      <c r="L47" s="168">
        <f t="shared" si="10"/>
        <v>0</v>
      </c>
      <c r="M47" s="168">
        <f t="shared" si="10"/>
        <v>0</v>
      </c>
      <c r="N47" s="168">
        <f t="shared" si="10"/>
        <v>0</v>
      </c>
      <c r="O47" s="168">
        <f t="shared" si="10"/>
        <v>0</v>
      </c>
      <c r="P47" s="168">
        <f t="shared" si="10"/>
        <v>49000</v>
      </c>
      <c r="Q47" s="168">
        <f t="shared" si="10"/>
        <v>0</v>
      </c>
      <c r="R47" s="168">
        <f t="shared" si="10"/>
        <v>0</v>
      </c>
      <c r="S47" s="168">
        <f t="shared" si="10"/>
        <v>0</v>
      </c>
      <c r="T47" s="168">
        <f t="shared" si="10"/>
        <v>350000</v>
      </c>
      <c r="U47" s="168">
        <f t="shared" si="10"/>
        <v>350000</v>
      </c>
      <c r="V47" s="168">
        <f t="shared" si="10"/>
        <v>514743782</v>
      </c>
      <c r="W47" s="168">
        <f t="shared" si="10"/>
        <v>545671403</v>
      </c>
      <c r="X47" s="168">
        <f t="shared" si="10"/>
        <v>478734456</v>
      </c>
    </row>
    <row r="48" spans="1:24" s="35" customFormat="1" ht="21.75" customHeight="1" x14ac:dyDescent="0.25">
      <c r="A48" s="25" t="s">
        <v>283</v>
      </c>
      <c r="B48" s="33" t="s">
        <v>110</v>
      </c>
      <c r="C48" s="26"/>
      <c r="D48" s="168">
        <f>+D32+D35+D37+D42+D429+D45+D44</f>
        <v>1682420</v>
      </c>
      <c r="E48" s="168">
        <f t="shared" ref="E48:X48" si="11">+E32+E35+E37+E42+E429+E45+E44</f>
        <v>5456187</v>
      </c>
      <c r="F48" s="168">
        <f t="shared" si="11"/>
        <v>5456187</v>
      </c>
      <c r="G48" s="168">
        <f t="shared" si="11"/>
        <v>0</v>
      </c>
      <c r="H48" s="168">
        <f t="shared" si="11"/>
        <v>0</v>
      </c>
      <c r="I48" s="168">
        <f t="shared" si="11"/>
        <v>0</v>
      </c>
      <c r="J48" s="168">
        <f t="shared" si="11"/>
        <v>0</v>
      </c>
      <c r="K48" s="168">
        <f t="shared" si="11"/>
        <v>0</v>
      </c>
      <c r="L48" s="168">
        <f t="shared" si="11"/>
        <v>0</v>
      </c>
      <c r="M48" s="168">
        <f t="shared" si="11"/>
        <v>0</v>
      </c>
      <c r="N48" s="168">
        <f t="shared" si="11"/>
        <v>0</v>
      </c>
      <c r="O48" s="168">
        <f t="shared" si="11"/>
        <v>0</v>
      </c>
      <c r="P48" s="168">
        <f t="shared" si="11"/>
        <v>0</v>
      </c>
      <c r="Q48" s="168">
        <f t="shared" si="11"/>
        <v>0</v>
      </c>
      <c r="R48" s="168">
        <f t="shared" si="11"/>
        <v>0</v>
      </c>
      <c r="S48" s="168">
        <f t="shared" si="11"/>
        <v>0</v>
      </c>
      <c r="T48" s="168">
        <f t="shared" si="11"/>
        <v>0</v>
      </c>
      <c r="U48" s="168">
        <f t="shared" si="11"/>
        <v>0</v>
      </c>
      <c r="V48" s="168">
        <f t="shared" si="11"/>
        <v>1682420</v>
      </c>
      <c r="W48" s="168">
        <f t="shared" si="11"/>
        <v>5456187</v>
      </c>
      <c r="X48" s="168">
        <f t="shared" si="11"/>
        <v>5456187</v>
      </c>
    </row>
    <row r="49" spans="1:24" s="35" customFormat="1" ht="21.75" customHeight="1" x14ac:dyDescent="0.25">
      <c r="A49" s="25" t="s">
        <v>284</v>
      </c>
      <c r="B49" s="33" t="s">
        <v>329</v>
      </c>
      <c r="C49" s="26"/>
      <c r="D49" s="168">
        <f>+D47+D48</f>
        <v>515927182</v>
      </c>
      <c r="E49" s="168">
        <f t="shared" ref="E49:X49" si="12">+E47+E48</f>
        <v>548702769</v>
      </c>
      <c r="F49" s="168">
        <f t="shared" si="12"/>
        <v>481896822</v>
      </c>
      <c r="G49" s="168">
        <f t="shared" si="12"/>
        <v>450020</v>
      </c>
      <c r="H49" s="168">
        <f t="shared" si="12"/>
        <v>2074821</v>
      </c>
      <c r="I49" s="168">
        <f t="shared" si="12"/>
        <v>1943821</v>
      </c>
      <c r="J49" s="168">
        <f t="shared" si="12"/>
        <v>0</v>
      </c>
      <c r="K49" s="168">
        <f t="shared" si="12"/>
        <v>0</v>
      </c>
      <c r="L49" s="168">
        <f t="shared" si="12"/>
        <v>0</v>
      </c>
      <c r="M49" s="168">
        <f t="shared" si="12"/>
        <v>0</v>
      </c>
      <c r="N49" s="168">
        <f t="shared" si="12"/>
        <v>0</v>
      </c>
      <c r="O49" s="168">
        <f t="shared" si="12"/>
        <v>0</v>
      </c>
      <c r="P49" s="168">
        <f t="shared" si="12"/>
        <v>49000</v>
      </c>
      <c r="Q49" s="168">
        <f t="shared" si="12"/>
        <v>0</v>
      </c>
      <c r="R49" s="168">
        <f t="shared" si="12"/>
        <v>0</v>
      </c>
      <c r="S49" s="168">
        <f t="shared" si="12"/>
        <v>0</v>
      </c>
      <c r="T49" s="168">
        <f t="shared" si="12"/>
        <v>350000</v>
      </c>
      <c r="U49" s="168">
        <f t="shared" si="12"/>
        <v>350000</v>
      </c>
      <c r="V49" s="168">
        <f t="shared" si="12"/>
        <v>516426202</v>
      </c>
      <c r="W49" s="168">
        <f t="shared" si="12"/>
        <v>551127590</v>
      </c>
      <c r="X49" s="168">
        <f t="shared" si="12"/>
        <v>484190643</v>
      </c>
    </row>
    <row r="50" spans="1:24" s="764" customFormat="1" ht="21.75" customHeight="1" x14ac:dyDescent="0.25">
      <c r="A50" s="761" t="s">
        <v>285</v>
      </c>
      <c r="B50" s="296" t="s">
        <v>2075</v>
      </c>
      <c r="C50" s="767"/>
      <c r="D50" s="763"/>
      <c r="E50" s="763"/>
      <c r="F50" s="763"/>
      <c r="G50" s="763">
        <v>51</v>
      </c>
      <c r="H50" s="763">
        <v>51</v>
      </c>
      <c r="I50" s="763">
        <v>51.2</v>
      </c>
      <c r="J50" s="763">
        <v>24</v>
      </c>
      <c r="K50" s="763">
        <v>24</v>
      </c>
      <c r="L50" s="763">
        <v>22.7</v>
      </c>
      <c r="M50" s="763"/>
      <c r="N50" s="763"/>
      <c r="O50" s="763"/>
      <c r="P50" s="763"/>
      <c r="Q50" s="763"/>
      <c r="R50" s="763"/>
      <c r="S50" s="763"/>
      <c r="T50" s="763"/>
      <c r="U50" s="763"/>
      <c r="V50" s="763">
        <f t="shared" si="0"/>
        <v>75</v>
      </c>
      <c r="W50" s="763">
        <f t="shared" si="1"/>
        <v>75</v>
      </c>
      <c r="X50" s="763">
        <f t="shared" si="1"/>
        <v>73.900000000000006</v>
      </c>
    </row>
    <row r="51" spans="1:24" ht="21.75" customHeight="1" x14ac:dyDescent="0.25">
      <c r="A51" s="25" t="s">
        <v>286</v>
      </c>
      <c r="B51" s="46" t="s">
        <v>964</v>
      </c>
      <c r="C51" s="171"/>
      <c r="D51" s="167"/>
      <c r="E51" s="167"/>
      <c r="F51" s="167"/>
      <c r="G51" s="198"/>
      <c r="H51" s="198"/>
      <c r="I51" s="198"/>
      <c r="J51" s="198"/>
      <c r="K51" s="198"/>
      <c r="L51" s="198"/>
      <c r="M51" s="198"/>
      <c r="N51" s="198"/>
      <c r="O51" s="198"/>
      <c r="P51" s="198"/>
      <c r="Q51" s="198"/>
      <c r="R51" s="198"/>
      <c r="S51" s="198"/>
      <c r="T51" s="198"/>
      <c r="U51" s="198"/>
      <c r="V51" s="167">
        <f t="shared" si="0"/>
        <v>0</v>
      </c>
      <c r="W51" s="167">
        <f t="shared" si="1"/>
        <v>0</v>
      </c>
      <c r="X51" s="167"/>
    </row>
  </sheetData>
  <mergeCells count="28">
    <mergeCell ref="P2:U2"/>
    <mergeCell ref="D5:F5"/>
    <mergeCell ref="G5:I5"/>
    <mergeCell ref="J5:L5"/>
    <mergeCell ref="M5:O5"/>
    <mergeCell ref="P5:R5"/>
    <mergeCell ref="S5:U5"/>
    <mergeCell ref="V2:X2"/>
    <mergeCell ref="D4:F4"/>
    <mergeCell ref="G4:I4"/>
    <mergeCell ref="J4:L4"/>
    <mergeCell ref="M4:O4"/>
    <mergeCell ref="P4:R4"/>
    <mergeCell ref="S4:U4"/>
    <mergeCell ref="V4:X7"/>
    <mergeCell ref="D6:F7"/>
    <mergeCell ref="G6:I7"/>
    <mergeCell ref="J6:L7"/>
    <mergeCell ref="M6:O7"/>
    <mergeCell ref="P6:R7"/>
    <mergeCell ref="S6:U7"/>
    <mergeCell ref="D2:I2"/>
    <mergeCell ref="J2:O2"/>
    <mergeCell ref="A3:C3"/>
    <mergeCell ref="B5:C5"/>
    <mergeCell ref="B6:C6"/>
    <mergeCell ref="A4:A7"/>
    <mergeCell ref="B4:C4"/>
  </mergeCells>
  <phoneticPr fontId="44" type="noConversion"/>
  <printOptions horizontalCentered="1" verticalCentered="1"/>
  <pageMargins left="0.35433070866141736" right="0.35433070866141736" top="0.39370078740157483" bottom="0.39370078740157483" header="0.51181102362204722" footer="0.51181102362204722"/>
  <pageSetup paperSize="9" scale="50" orientation="portrait" horizontalDpi="200" verticalDpi="200" r:id="rId1"/>
  <headerFooter alignWithMargins="0">
    <oddHeader>&amp;C2022. évi zárszámadás&amp;R&amp;A</oddHeader>
    <oddFooter>&amp;C&amp;P/&amp;N</oddFooter>
  </headerFooter>
  <colBreaks count="3" manualBreakCount="3">
    <brk id="9" max="50" man="1"/>
    <brk id="15" max="50" man="1"/>
    <brk id="21" max="5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sheetPr>
  <dimension ref="A1:V51"/>
  <sheetViews>
    <sheetView view="pageBreakPreview" zoomScale="80" zoomScaleNormal="70" zoomScaleSheetLayoutView="80" workbookViewId="0">
      <pane xSplit="3" ySplit="8" topLeftCell="K36" activePane="bottomRight" state="frozen"/>
      <selection activeCell="Y17" sqref="Y17"/>
      <selection pane="topRight" activeCell="Y17" sqref="Y17"/>
      <selection pane="bottomLeft" activeCell="Y17" sqref="Y17"/>
      <selection pane="bottomRight" activeCell="Z49" sqref="Z49"/>
    </sheetView>
  </sheetViews>
  <sheetFormatPr defaultColWidth="9.140625" defaultRowHeight="12.75" x14ac:dyDescent="0.2"/>
  <cols>
    <col min="1" max="1" width="6.28515625" style="19" bestFit="1" customWidth="1"/>
    <col min="2" max="2" width="68" style="19" customWidth="1"/>
    <col min="3" max="3" width="7.85546875" style="127" customWidth="1"/>
    <col min="4" max="6" width="17.85546875" style="20" customWidth="1"/>
    <col min="7" max="7" width="18.5703125" style="20" customWidth="1"/>
    <col min="8" max="8" width="20.5703125" style="20" customWidth="1"/>
    <col min="9" max="9" width="20.42578125" style="20" customWidth="1"/>
    <col min="10" max="15" width="18.28515625" style="20" customWidth="1"/>
    <col min="16" max="18" width="15.7109375" style="20" customWidth="1"/>
    <col min="19" max="19" width="20.140625" style="20" customWidth="1"/>
    <col min="20" max="20" width="20.140625" style="19" customWidth="1"/>
    <col min="21" max="21" width="20.7109375" style="19" customWidth="1"/>
    <col min="22" max="22" width="13.42578125" style="19" bestFit="1" customWidth="1"/>
    <col min="23" max="16384" width="9.140625" style="19"/>
  </cols>
  <sheetData>
    <row r="1" spans="1:22" ht="15.75" x14ac:dyDescent="0.25">
      <c r="I1" s="166" t="s">
        <v>415</v>
      </c>
      <c r="O1" s="166" t="s">
        <v>415</v>
      </c>
      <c r="U1" s="166" t="s">
        <v>415</v>
      </c>
    </row>
    <row r="2" spans="1:22" ht="24" customHeight="1" x14ac:dyDescent="0.25">
      <c r="A2" s="372"/>
      <c r="B2" s="373"/>
      <c r="C2" s="374"/>
      <c r="D2" s="1057" t="s">
        <v>1985</v>
      </c>
      <c r="E2" s="1058"/>
      <c r="F2" s="1058"/>
      <c r="G2" s="1058"/>
      <c r="H2" s="1058"/>
      <c r="I2" s="1059"/>
      <c r="J2" s="1057" t="s">
        <v>1985</v>
      </c>
      <c r="K2" s="1058"/>
      <c r="L2" s="1058"/>
      <c r="M2" s="1058"/>
      <c r="N2" s="1058"/>
      <c r="O2" s="1059"/>
      <c r="P2" s="1057" t="s">
        <v>1985</v>
      </c>
      <c r="Q2" s="1058"/>
      <c r="R2" s="1058"/>
      <c r="S2" s="1058"/>
      <c r="T2" s="1058"/>
      <c r="U2" s="1059"/>
    </row>
    <row r="3" spans="1:22" ht="41.25" customHeight="1" x14ac:dyDescent="0.2">
      <c r="A3" s="1028" t="s">
        <v>133</v>
      </c>
      <c r="B3" s="1029"/>
      <c r="C3" s="1030"/>
      <c r="D3" s="644" t="s">
        <v>274</v>
      </c>
      <c r="E3" s="644" t="s">
        <v>1074</v>
      </c>
      <c r="F3" s="644" t="s">
        <v>1546</v>
      </c>
      <c r="G3" s="644" t="s">
        <v>274</v>
      </c>
      <c r="H3" s="644" t="s">
        <v>1074</v>
      </c>
      <c r="I3" s="644" t="s">
        <v>1546</v>
      </c>
      <c r="J3" s="644" t="s">
        <v>274</v>
      </c>
      <c r="K3" s="644" t="s">
        <v>1074</v>
      </c>
      <c r="L3" s="644" t="s">
        <v>1546</v>
      </c>
      <c r="M3" s="644" t="s">
        <v>274</v>
      </c>
      <c r="N3" s="644" t="s">
        <v>1074</v>
      </c>
      <c r="O3" s="644" t="s">
        <v>1546</v>
      </c>
      <c r="P3" s="644" t="s">
        <v>274</v>
      </c>
      <c r="Q3" s="644" t="s">
        <v>1074</v>
      </c>
      <c r="R3" s="644" t="s">
        <v>1546</v>
      </c>
      <c r="S3" s="644" t="s">
        <v>274</v>
      </c>
      <c r="T3" s="644" t="s">
        <v>1074</v>
      </c>
      <c r="U3" s="644" t="s">
        <v>1546</v>
      </c>
    </row>
    <row r="4" spans="1:22" ht="95.25" customHeight="1" x14ac:dyDescent="0.2">
      <c r="A4" s="1034" t="s">
        <v>189</v>
      </c>
      <c r="B4" s="1035" t="s">
        <v>247</v>
      </c>
      <c r="C4" s="1035"/>
      <c r="D4" s="1039" t="s">
        <v>1740</v>
      </c>
      <c r="E4" s="1040"/>
      <c r="F4" s="1041"/>
      <c r="G4" s="1039" t="s">
        <v>177</v>
      </c>
      <c r="H4" s="1040" t="s">
        <v>177</v>
      </c>
      <c r="I4" s="1041"/>
      <c r="J4" s="1039" t="s">
        <v>1983</v>
      </c>
      <c r="K4" s="1040" t="s">
        <v>784</v>
      </c>
      <c r="L4" s="1041"/>
      <c r="M4" s="1039" t="s">
        <v>1983</v>
      </c>
      <c r="N4" s="1040" t="s">
        <v>784</v>
      </c>
      <c r="O4" s="1041"/>
      <c r="P4" s="1039" t="s">
        <v>181</v>
      </c>
      <c r="Q4" s="1040" t="s">
        <v>181</v>
      </c>
      <c r="R4" s="1041"/>
      <c r="S4" s="1042" t="s">
        <v>135</v>
      </c>
      <c r="T4" s="1043"/>
      <c r="U4" s="1044"/>
    </row>
    <row r="5" spans="1:22" ht="25.5" customHeight="1" x14ac:dyDescent="0.2">
      <c r="A5" s="1034"/>
      <c r="B5" s="1035" t="s">
        <v>11</v>
      </c>
      <c r="C5" s="1035"/>
      <c r="D5" s="1039" t="s">
        <v>225</v>
      </c>
      <c r="E5" s="1040"/>
      <c r="F5" s="1041"/>
      <c r="G5" s="1039" t="s">
        <v>225</v>
      </c>
      <c r="H5" s="1040" t="s">
        <v>225</v>
      </c>
      <c r="I5" s="1041"/>
      <c r="J5" s="1039" t="s">
        <v>225</v>
      </c>
      <c r="K5" s="1040" t="s">
        <v>225</v>
      </c>
      <c r="L5" s="1041"/>
      <c r="M5" s="1039" t="s">
        <v>225</v>
      </c>
      <c r="N5" s="1040" t="s">
        <v>225</v>
      </c>
      <c r="O5" s="1041"/>
      <c r="P5" s="1039" t="s">
        <v>225</v>
      </c>
      <c r="Q5" s="1040" t="s">
        <v>225</v>
      </c>
      <c r="R5" s="1041"/>
      <c r="S5" s="1045"/>
      <c r="T5" s="1046"/>
      <c r="U5" s="1047"/>
    </row>
    <row r="6" spans="1:22" ht="16.899999999999999" customHeight="1" x14ac:dyDescent="0.2">
      <c r="A6" s="1034"/>
      <c r="B6" s="992" t="s">
        <v>646</v>
      </c>
      <c r="C6" s="992"/>
      <c r="D6" s="1051" t="s">
        <v>1952</v>
      </c>
      <c r="E6" s="1052"/>
      <c r="F6" s="1053"/>
      <c r="G6" s="1051" t="s">
        <v>1980</v>
      </c>
      <c r="H6" s="1052" t="s">
        <v>346</v>
      </c>
      <c r="I6" s="1053"/>
      <c r="J6" s="1051" t="s">
        <v>1981</v>
      </c>
      <c r="K6" s="1052" t="s">
        <v>591</v>
      </c>
      <c r="L6" s="1053"/>
      <c r="M6" s="1051" t="s">
        <v>1982</v>
      </c>
      <c r="N6" s="1052" t="s">
        <v>592</v>
      </c>
      <c r="O6" s="1053"/>
      <c r="P6" s="1051" t="s">
        <v>1984</v>
      </c>
      <c r="Q6" s="1052" t="s">
        <v>1156</v>
      </c>
      <c r="R6" s="1053"/>
      <c r="S6" s="1045"/>
      <c r="T6" s="1046"/>
      <c r="U6" s="1047"/>
    </row>
    <row r="7" spans="1:22" ht="63.75" customHeight="1" x14ac:dyDescent="0.2">
      <c r="A7" s="1034"/>
      <c r="B7" s="684" t="s">
        <v>190</v>
      </c>
      <c r="C7" s="126" t="s">
        <v>248</v>
      </c>
      <c r="D7" s="1054"/>
      <c r="E7" s="1055"/>
      <c r="F7" s="1056"/>
      <c r="G7" s="1054"/>
      <c r="H7" s="1055"/>
      <c r="I7" s="1056"/>
      <c r="J7" s="1054"/>
      <c r="K7" s="1055"/>
      <c r="L7" s="1056"/>
      <c r="M7" s="1054"/>
      <c r="N7" s="1055"/>
      <c r="O7" s="1056"/>
      <c r="P7" s="1054"/>
      <c r="Q7" s="1055"/>
      <c r="R7" s="1056"/>
      <c r="S7" s="1048"/>
      <c r="T7" s="1049"/>
      <c r="U7" s="1050"/>
    </row>
    <row r="8" spans="1:22" ht="15.75" x14ac:dyDescent="0.2">
      <c r="A8" s="23" t="s">
        <v>191</v>
      </c>
      <c r="B8" s="24" t="s">
        <v>192</v>
      </c>
      <c r="C8" s="24" t="s">
        <v>193</v>
      </c>
      <c r="D8" s="301" t="s">
        <v>194</v>
      </c>
      <c r="E8" s="24" t="s">
        <v>195</v>
      </c>
      <c r="F8" s="301" t="s">
        <v>196</v>
      </c>
      <c r="G8" s="24" t="s">
        <v>197</v>
      </c>
      <c r="H8" s="301" t="s">
        <v>198</v>
      </c>
      <c r="I8" s="24" t="s">
        <v>199</v>
      </c>
      <c r="J8" s="301" t="s">
        <v>200</v>
      </c>
      <c r="K8" s="24" t="s">
        <v>201</v>
      </c>
      <c r="L8" s="301" t="s">
        <v>228</v>
      </c>
      <c r="M8" s="24" t="s">
        <v>229</v>
      </c>
      <c r="N8" s="301" t="s">
        <v>230</v>
      </c>
      <c r="O8" s="24" t="s">
        <v>231</v>
      </c>
      <c r="P8" s="301" t="s">
        <v>232</v>
      </c>
      <c r="Q8" s="24" t="s">
        <v>233</v>
      </c>
      <c r="R8" s="301" t="s">
        <v>234</v>
      </c>
      <c r="S8" s="24" t="s">
        <v>235</v>
      </c>
      <c r="T8" s="301" t="s">
        <v>236</v>
      </c>
      <c r="U8" s="24" t="s">
        <v>261</v>
      </c>
    </row>
    <row r="9" spans="1:22" ht="21.75" customHeight="1" x14ac:dyDescent="0.25">
      <c r="A9" s="25" t="s">
        <v>191</v>
      </c>
      <c r="B9" s="22" t="s">
        <v>330</v>
      </c>
      <c r="C9" s="128" t="s">
        <v>202</v>
      </c>
      <c r="D9" s="167"/>
      <c r="E9" s="167"/>
      <c r="F9" s="167"/>
      <c r="G9" s="167">
        <f>32590107+5258901</f>
        <v>37849008</v>
      </c>
      <c r="H9" s="167">
        <v>38649008</v>
      </c>
      <c r="I9" s="167">
        <v>17995773</v>
      </c>
      <c r="J9" s="167">
        <v>154855398</v>
      </c>
      <c r="K9" s="167">
        <f>154855398-433287+233287+200000+2500000-86685+86685-280221+80221+200000</f>
        <v>157355398</v>
      </c>
      <c r="L9" s="167">
        <v>156275137</v>
      </c>
      <c r="M9" s="167">
        <v>121341817</v>
      </c>
      <c r="N9" s="167">
        <f>121341817+52860-52860-102760+102760-9414+9414-21966+21966+375000+2000000-53346+53346-31380+31380</f>
        <v>123716817</v>
      </c>
      <c r="O9" s="167">
        <v>115789206</v>
      </c>
      <c r="P9" s="167"/>
      <c r="Q9" s="167"/>
      <c r="R9" s="167"/>
      <c r="S9" s="167">
        <f t="shared" ref="S9:S50" si="0">D9+G9+J9+M9+P9</f>
        <v>314046223</v>
      </c>
      <c r="T9" s="167">
        <f t="shared" ref="T9:U50" si="1">E9+H9+K9+N9+Q9</f>
        <v>319721223</v>
      </c>
      <c r="U9" s="167">
        <f t="shared" si="1"/>
        <v>290060116</v>
      </c>
      <c r="V9" s="80"/>
    </row>
    <row r="10" spans="1:22" ht="21.75" customHeight="1" x14ac:dyDescent="0.25">
      <c r="A10" s="25" t="s">
        <v>192</v>
      </c>
      <c r="B10" s="27" t="s">
        <v>203</v>
      </c>
      <c r="C10" s="128" t="s">
        <v>204</v>
      </c>
      <c r="D10" s="167"/>
      <c r="E10" s="167"/>
      <c r="F10" s="167"/>
      <c r="G10" s="167">
        <f>4411714+718657</f>
        <v>5130371</v>
      </c>
      <c r="H10" s="167">
        <f>4411714+718657+52000</f>
        <v>5182371</v>
      </c>
      <c r="I10" s="167">
        <v>2486351</v>
      </c>
      <c r="J10" s="167">
        <f>21058703+4200000+100000+50000</f>
        <v>25408703</v>
      </c>
      <c r="K10" s="167">
        <f>21058703+4200000+100000+50000+325000</f>
        <v>25733703</v>
      </c>
      <c r="L10" s="167">
        <v>25649175</v>
      </c>
      <c r="M10" s="167">
        <v>16526935</v>
      </c>
      <c r="N10" s="167">
        <f>16526935+48750+260000</f>
        <v>16835685</v>
      </c>
      <c r="O10" s="167">
        <v>15726657</v>
      </c>
      <c r="P10" s="167"/>
      <c r="Q10" s="167"/>
      <c r="R10" s="167"/>
      <c r="S10" s="167">
        <f t="shared" si="0"/>
        <v>47066009</v>
      </c>
      <c r="T10" s="167">
        <f t="shared" si="1"/>
        <v>47751759</v>
      </c>
      <c r="U10" s="167">
        <f t="shared" si="1"/>
        <v>43862183</v>
      </c>
      <c r="V10" s="80"/>
    </row>
    <row r="11" spans="1:22" ht="21.75" customHeight="1" x14ac:dyDescent="0.25">
      <c r="A11" s="25" t="s">
        <v>193</v>
      </c>
      <c r="B11" s="27" t="s">
        <v>331</v>
      </c>
      <c r="C11" s="128" t="s">
        <v>205</v>
      </c>
      <c r="D11" s="167">
        <f>904462</f>
        <v>904462</v>
      </c>
      <c r="E11" s="167">
        <f>904462-904462</f>
        <v>0</v>
      </c>
      <c r="F11" s="167"/>
      <c r="G11" s="167">
        <f>(29762822)+308323+264244</f>
        <v>30335389</v>
      </c>
      <c r="H11" s="167">
        <v>33726442</v>
      </c>
      <c r="I11" s="167">
        <v>19388699</v>
      </c>
      <c r="J11" s="167">
        <f>+(16768470)+9144+33944</f>
        <v>16811558</v>
      </c>
      <c r="K11" s="167">
        <v>18772741</v>
      </c>
      <c r="L11" s="167">
        <v>8834984</v>
      </c>
      <c r="M11" s="167">
        <f>+(16168110)+11430+28448</f>
        <v>16207988</v>
      </c>
      <c r="N11" s="167">
        <v>18342606</v>
      </c>
      <c r="O11" s="167">
        <v>11840805</v>
      </c>
      <c r="P11" s="167"/>
      <c r="Q11" s="167"/>
      <c r="R11" s="167"/>
      <c r="S11" s="167">
        <f t="shared" si="0"/>
        <v>64259397</v>
      </c>
      <c r="T11" s="167">
        <f t="shared" si="1"/>
        <v>70841789</v>
      </c>
      <c r="U11" s="167">
        <f t="shared" si="1"/>
        <v>40064488</v>
      </c>
      <c r="V11" s="80"/>
    </row>
    <row r="12" spans="1:22" ht="21.75" customHeight="1" x14ac:dyDescent="0.25">
      <c r="A12" s="25" t="s">
        <v>194</v>
      </c>
      <c r="B12" s="28" t="s">
        <v>332</v>
      </c>
      <c r="C12" s="128" t="s">
        <v>206</v>
      </c>
      <c r="D12" s="167"/>
      <c r="E12" s="167"/>
      <c r="F12" s="167"/>
      <c r="G12" s="167"/>
      <c r="H12" s="167"/>
      <c r="I12" s="167"/>
      <c r="J12" s="167"/>
      <c r="K12" s="167"/>
      <c r="L12" s="167"/>
      <c r="M12" s="167"/>
      <c r="N12" s="167"/>
      <c r="O12" s="167"/>
      <c r="P12" s="167"/>
      <c r="Q12" s="167"/>
      <c r="R12" s="167"/>
      <c r="S12" s="167">
        <f t="shared" si="0"/>
        <v>0</v>
      </c>
      <c r="T12" s="167">
        <f t="shared" si="1"/>
        <v>0</v>
      </c>
      <c r="U12" s="167">
        <f t="shared" si="1"/>
        <v>0</v>
      </c>
    </row>
    <row r="13" spans="1:22" ht="21.75" customHeight="1" x14ac:dyDescent="0.25">
      <c r="A13" s="25" t="s">
        <v>195</v>
      </c>
      <c r="B13" s="28" t="s">
        <v>237</v>
      </c>
      <c r="C13" s="128" t="s">
        <v>207</v>
      </c>
      <c r="D13" s="167">
        <f>SUM(D14:D16)</f>
        <v>0</v>
      </c>
      <c r="E13" s="167">
        <f t="shared" ref="E13:U13" si="2">SUM(E14:E16)</f>
        <v>19044359</v>
      </c>
      <c r="F13" s="167">
        <f t="shared" si="2"/>
        <v>19044359</v>
      </c>
      <c r="G13" s="167">
        <f t="shared" si="2"/>
        <v>0</v>
      </c>
      <c r="H13" s="167">
        <f t="shared" si="2"/>
        <v>0</v>
      </c>
      <c r="I13" s="167">
        <f t="shared" si="2"/>
        <v>0</v>
      </c>
      <c r="J13" s="167">
        <f t="shared" si="2"/>
        <v>0</v>
      </c>
      <c r="K13" s="167">
        <f t="shared" si="2"/>
        <v>0</v>
      </c>
      <c r="L13" s="167">
        <f t="shared" si="2"/>
        <v>0</v>
      </c>
      <c r="M13" s="167">
        <f t="shared" si="2"/>
        <v>0</v>
      </c>
      <c r="N13" s="167">
        <f t="shared" si="2"/>
        <v>0</v>
      </c>
      <c r="O13" s="167">
        <f t="shared" si="2"/>
        <v>0</v>
      </c>
      <c r="P13" s="167">
        <f t="shared" si="2"/>
        <v>0</v>
      </c>
      <c r="Q13" s="167">
        <f t="shared" si="2"/>
        <v>0</v>
      </c>
      <c r="R13" s="167">
        <f t="shared" si="2"/>
        <v>0</v>
      </c>
      <c r="S13" s="167">
        <f t="shared" si="2"/>
        <v>0</v>
      </c>
      <c r="T13" s="167">
        <f t="shared" si="2"/>
        <v>19044359</v>
      </c>
      <c r="U13" s="167">
        <f t="shared" si="2"/>
        <v>19044359</v>
      </c>
    </row>
    <row r="14" spans="1:22" ht="21.75" customHeight="1" x14ac:dyDescent="0.25">
      <c r="A14" s="25" t="s">
        <v>196</v>
      </c>
      <c r="B14" s="29" t="s">
        <v>122</v>
      </c>
      <c r="C14" s="128"/>
      <c r="D14" s="167"/>
      <c r="E14" s="167"/>
      <c r="F14" s="167"/>
      <c r="G14" s="167"/>
      <c r="H14" s="167"/>
      <c r="I14" s="167"/>
      <c r="J14" s="167"/>
      <c r="K14" s="167"/>
      <c r="L14" s="167"/>
      <c r="M14" s="167"/>
      <c r="N14" s="167"/>
      <c r="O14" s="167"/>
      <c r="P14" s="167"/>
      <c r="Q14" s="167"/>
      <c r="R14" s="167"/>
      <c r="S14" s="167">
        <f t="shared" si="0"/>
        <v>0</v>
      </c>
      <c r="T14" s="167">
        <f t="shared" si="1"/>
        <v>0</v>
      </c>
      <c r="U14" s="167">
        <f t="shared" si="1"/>
        <v>0</v>
      </c>
    </row>
    <row r="15" spans="1:22" ht="21.75" customHeight="1" x14ac:dyDescent="0.25">
      <c r="A15" s="25" t="s">
        <v>197</v>
      </c>
      <c r="B15" s="29" t="s">
        <v>112</v>
      </c>
      <c r="C15" s="129"/>
      <c r="D15" s="167"/>
      <c r="E15" s="167"/>
      <c r="F15" s="167"/>
      <c r="G15" s="167"/>
      <c r="H15" s="167"/>
      <c r="I15" s="167"/>
      <c r="J15" s="167"/>
      <c r="K15" s="167"/>
      <c r="L15" s="167"/>
      <c r="M15" s="167"/>
      <c r="N15" s="167"/>
      <c r="O15" s="167"/>
      <c r="P15" s="167"/>
      <c r="Q15" s="167"/>
      <c r="R15" s="167"/>
      <c r="S15" s="167">
        <f t="shared" si="0"/>
        <v>0</v>
      </c>
      <c r="T15" s="167">
        <f t="shared" si="1"/>
        <v>0</v>
      </c>
      <c r="U15" s="167">
        <f t="shared" si="1"/>
        <v>0</v>
      </c>
    </row>
    <row r="16" spans="1:22" ht="21.75" customHeight="1" x14ac:dyDescent="0.25">
      <c r="A16" s="25" t="s">
        <v>198</v>
      </c>
      <c r="B16" s="88" t="s">
        <v>517</v>
      </c>
      <c r="C16" s="129"/>
      <c r="D16" s="167"/>
      <c r="E16" s="167">
        <v>19044359</v>
      </c>
      <c r="F16" s="167">
        <v>19044359</v>
      </c>
      <c r="G16" s="167"/>
      <c r="H16" s="167"/>
      <c r="I16" s="167"/>
      <c r="J16" s="167"/>
      <c r="K16" s="167"/>
      <c r="L16" s="167"/>
      <c r="M16" s="167"/>
      <c r="N16" s="167"/>
      <c r="O16" s="167"/>
      <c r="P16" s="167"/>
      <c r="Q16" s="167"/>
      <c r="R16" s="167"/>
      <c r="S16" s="167">
        <f t="shared" si="0"/>
        <v>0</v>
      </c>
      <c r="T16" s="167">
        <f t="shared" si="1"/>
        <v>19044359</v>
      </c>
      <c r="U16" s="167">
        <f t="shared" si="1"/>
        <v>19044359</v>
      </c>
    </row>
    <row r="17" spans="1:21" ht="21.75" customHeight="1" x14ac:dyDescent="0.25">
      <c r="A17" s="25" t="s">
        <v>199</v>
      </c>
      <c r="B17" s="31" t="s">
        <v>244</v>
      </c>
      <c r="C17" s="128" t="s">
        <v>208</v>
      </c>
      <c r="D17" s="167"/>
      <c r="E17" s="167"/>
      <c r="F17" s="167"/>
      <c r="G17" s="167">
        <v>381000</v>
      </c>
      <c r="H17" s="167">
        <v>381000</v>
      </c>
      <c r="I17" s="167">
        <v>45410</v>
      </c>
      <c r="J17" s="169">
        <v>858520</v>
      </c>
      <c r="K17" s="169">
        <v>2188720</v>
      </c>
      <c r="L17" s="169">
        <v>1963613</v>
      </c>
      <c r="M17" s="167">
        <v>635000</v>
      </c>
      <c r="N17" s="167">
        <f>635000+1809250+488498</f>
        <v>2932748</v>
      </c>
      <c r="O17" s="167">
        <v>2510637</v>
      </c>
      <c r="P17" s="167"/>
      <c r="Q17" s="167"/>
      <c r="R17" s="167"/>
      <c r="S17" s="167">
        <f t="shared" si="0"/>
        <v>1874520</v>
      </c>
      <c r="T17" s="167">
        <f t="shared" si="1"/>
        <v>5502468</v>
      </c>
      <c r="U17" s="167">
        <f t="shared" si="1"/>
        <v>4519660</v>
      </c>
    </row>
    <row r="18" spans="1:21" ht="21.75" customHeight="1" x14ac:dyDescent="0.25">
      <c r="A18" s="25" t="s">
        <v>200</v>
      </c>
      <c r="B18" s="28" t="s">
        <v>333</v>
      </c>
      <c r="C18" s="128" t="s">
        <v>209</v>
      </c>
      <c r="D18" s="167"/>
      <c r="E18" s="167"/>
      <c r="F18" s="167"/>
      <c r="G18" s="167"/>
      <c r="H18" s="167"/>
      <c r="I18" s="167"/>
      <c r="J18" s="167"/>
      <c r="K18" s="167"/>
      <c r="L18" s="167"/>
      <c r="M18" s="167"/>
      <c r="N18" s="167"/>
      <c r="O18" s="167"/>
      <c r="P18" s="167"/>
      <c r="Q18" s="167"/>
      <c r="R18" s="167"/>
      <c r="S18" s="167">
        <f t="shared" si="0"/>
        <v>0</v>
      </c>
      <c r="T18" s="167">
        <f t="shared" si="1"/>
        <v>0</v>
      </c>
      <c r="U18" s="167">
        <f t="shared" si="1"/>
        <v>0</v>
      </c>
    </row>
    <row r="19" spans="1:21" ht="21.75" customHeight="1" x14ac:dyDescent="0.25">
      <c r="A19" s="25" t="s">
        <v>201</v>
      </c>
      <c r="B19" s="28" t="s">
        <v>238</v>
      </c>
      <c r="C19" s="128" t="s">
        <v>210</v>
      </c>
      <c r="D19" s="167"/>
      <c r="E19" s="167"/>
      <c r="F19" s="167"/>
      <c r="G19" s="167"/>
      <c r="H19" s="167"/>
      <c r="I19" s="167"/>
      <c r="J19" s="167"/>
      <c r="K19" s="167"/>
      <c r="L19" s="167"/>
      <c r="M19" s="167"/>
      <c r="N19" s="167"/>
      <c r="O19" s="167"/>
      <c r="P19" s="167"/>
      <c r="Q19" s="167"/>
      <c r="R19" s="167"/>
      <c r="S19" s="167">
        <f t="shared" si="0"/>
        <v>0</v>
      </c>
      <c r="T19" s="167">
        <f t="shared" si="1"/>
        <v>0</v>
      </c>
      <c r="U19" s="167">
        <f t="shared" si="1"/>
        <v>0</v>
      </c>
    </row>
    <row r="20" spans="1:21" ht="21.75" customHeight="1" x14ac:dyDescent="0.25">
      <c r="A20" s="25" t="s">
        <v>228</v>
      </c>
      <c r="B20" s="29" t="s">
        <v>121</v>
      </c>
      <c r="C20" s="128"/>
      <c r="D20" s="167"/>
      <c r="E20" s="167"/>
      <c r="F20" s="167"/>
      <c r="G20" s="167"/>
      <c r="H20" s="167"/>
      <c r="I20" s="167"/>
      <c r="J20" s="167"/>
      <c r="K20" s="167"/>
      <c r="L20" s="167"/>
      <c r="M20" s="167"/>
      <c r="N20" s="167"/>
      <c r="O20" s="167"/>
      <c r="P20" s="167"/>
      <c r="Q20" s="167"/>
      <c r="R20" s="167"/>
      <c r="S20" s="167">
        <f t="shared" si="0"/>
        <v>0</v>
      </c>
      <c r="T20" s="167">
        <f t="shared" si="1"/>
        <v>0</v>
      </c>
      <c r="U20" s="167">
        <f t="shared" si="1"/>
        <v>0</v>
      </c>
    </row>
    <row r="21" spans="1:21" ht="21.75" customHeight="1" x14ac:dyDescent="0.25">
      <c r="A21" s="25" t="s">
        <v>229</v>
      </c>
      <c r="B21" s="31" t="s">
        <v>239</v>
      </c>
      <c r="C21" s="128" t="s">
        <v>211</v>
      </c>
      <c r="D21" s="167">
        <f>+D9+D10+D11+D12+D13+D17+D18+D19</f>
        <v>904462</v>
      </c>
      <c r="E21" s="167">
        <f t="shared" ref="E21:U21" si="3">+E9+E10+E11+E12+E13+E17+E18+E19</f>
        <v>19044359</v>
      </c>
      <c r="F21" s="167">
        <f t="shared" si="3"/>
        <v>19044359</v>
      </c>
      <c r="G21" s="167">
        <f t="shared" si="3"/>
        <v>73695768</v>
      </c>
      <c r="H21" s="167">
        <f t="shared" si="3"/>
        <v>77938821</v>
      </c>
      <c r="I21" s="167">
        <f t="shared" si="3"/>
        <v>39916233</v>
      </c>
      <c r="J21" s="167">
        <f t="shared" si="3"/>
        <v>197934179</v>
      </c>
      <c r="K21" s="167">
        <f t="shared" si="3"/>
        <v>204050562</v>
      </c>
      <c r="L21" s="167">
        <f t="shared" si="3"/>
        <v>192722909</v>
      </c>
      <c r="M21" s="167">
        <f t="shared" si="3"/>
        <v>154711740</v>
      </c>
      <c r="N21" s="167">
        <f t="shared" si="3"/>
        <v>161827856</v>
      </c>
      <c r="O21" s="167">
        <f t="shared" si="3"/>
        <v>145867305</v>
      </c>
      <c r="P21" s="167">
        <f t="shared" si="3"/>
        <v>0</v>
      </c>
      <c r="Q21" s="167">
        <f t="shared" si="3"/>
        <v>0</v>
      </c>
      <c r="R21" s="167">
        <f t="shared" si="3"/>
        <v>0</v>
      </c>
      <c r="S21" s="168">
        <f t="shared" si="3"/>
        <v>427246149</v>
      </c>
      <c r="T21" s="168">
        <f t="shared" si="3"/>
        <v>462861598</v>
      </c>
      <c r="U21" s="168">
        <f t="shared" si="3"/>
        <v>397550806</v>
      </c>
    </row>
    <row r="22" spans="1:21" ht="21.75" customHeight="1" x14ac:dyDescent="0.25">
      <c r="A22" s="25" t="s">
        <v>230</v>
      </c>
      <c r="B22" s="31" t="s">
        <v>224</v>
      </c>
      <c r="C22" s="128" t="s">
        <v>220</v>
      </c>
      <c r="D22" s="167">
        <f>SUM(D23:D26)</f>
        <v>0</v>
      </c>
      <c r="E22" s="167">
        <f t="shared" ref="E22:U22" si="4">SUM(E23:E26)</f>
        <v>0</v>
      </c>
      <c r="F22" s="167">
        <f t="shared" si="4"/>
        <v>0</v>
      </c>
      <c r="G22" s="167">
        <f t="shared" si="4"/>
        <v>0</v>
      </c>
      <c r="H22" s="167">
        <f t="shared" si="4"/>
        <v>0</v>
      </c>
      <c r="I22" s="167">
        <f t="shared" si="4"/>
        <v>0</v>
      </c>
      <c r="J22" s="167">
        <f t="shared" si="4"/>
        <v>0</v>
      </c>
      <c r="K22" s="167">
        <f t="shared" si="4"/>
        <v>0</v>
      </c>
      <c r="L22" s="167">
        <f t="shared" si="4"/>
        <v>0</v>
      </c>
      <c r="M22" s="167">
        <f t="shared" si="4"/>
        <v>0</v>
      </c>
      <c r="N22" s="167">
        <f t="shared" si="4"/>
        <v>0</v>
      </c>
      <c r="O22" s="167">
        <f t="shared" si="4"/>
        <v>0</v>
      </c>
      <c r="P22" s="167">
        <f t="shared" si="4"/>
        <v>0</v>
      </c>
      <c r="Q22" s="167">
        <f t="shared" si="4"/>
        <v>0</v>
      </c>
      <c r="R22" s="167">
        <f t="shared" si="4"/>
        <v>0</v>
      </c>
      <c r="S22" s="167">
        <f t="shared" si="4"/>
        <v>0</v>
      </c>
      <c r="T22" s="167">
        <f t="shared" si="4"/>
        <v>0</v>
      </c>
      <c r="U22" s="167">
        <f t="shared" si="4"/>
        <v>0</v>
      </c>
    </row>
    <row r="23" spans="1:21" ht="21.75" customHeight="1" x14ac:dyDescent="0.25">
      <c r="A23" s="25" t="s">
        <v>231</v>
      </c>
      <c r="B23" s="90" t="s">
        <v>179</v>
      </c>
      <c r="C23" s="129"/>
      <c r="D23" s="167"/>
      <c r="E23" s="167"/>
      <c r="F23" s="167"/>
      <c r="G23" s="167"/>
      <c r="H23" s="167"/>
      <c r="I23" s="167"/>
      <c r="J23" s="167"/>
      <c r="K23" s="167"/>
      <c r="L23" s="167"/>
      <c r="M23" s="167"/>
      <c r="N23" s="167"/>
      <c r="O23" s="167"/>
      <c r="P23" s="167"/>
      <c r="Q23" s="167"/>
      <c r="R23" s="167"/>
      <c r="S23" s="167">
        <f t="shared" si="0"/>
        <v>0</v>
      </c>
      <c r="T23" s="167">
        <f t="shared" si="1"/>
        <v>0</v>
      </c>
      <c r="U23" s="167">
        <f t="shared" si="1"/>
        <v>0</v>
      </c>
    </row>
    <row r="24" spans="1:21" ht="21.75" customHeight="1" x14ac:dyDescent="0.25">
      <c r="A24" s="25" t="s">
        <v>232</v>
      </c>
      <c r="B24" s="32" t="s">
        <v>520</v>
      </c>
      <c r="C24" s="129"/>
      <c r="D24" s="167"/>
      <c r="E24" s="167"/>
      <c r="F24" s="167"/>
      <c r="G24" s="167"/>
      <c r="H24" s="167"/>
      <c r="I24" s="167"/>
      <c r="J24" s="167"/>
      <c r="K24" s="167"/>
      <c r="L24" s="167"/>
      <c r="M24" s="167"/>
      <c r="N24" s="167"/>
      <c r="O24" s="167"/>
      <c r="P24" s="167"/>
      <c r="Q24" s="167"/>
      <c r="R24" s="167"/>
      <c r="S24" s="167">
        <f t="shared" si="0"/>
        <v>0</v>
      </c>
      <c r="T24" s="167">
        <f t="shared" si="1"/>
        <v>0</v>
      </c>
      <c r="U24" s="167">
        <f t="shared" si="1"/>
        <v>0</v>
      </c>
    </row>
    <row r="25" spans="1:21" ht="21.75" customHeight="1" x14ac:dyDescent="0.25">
      <c r="A25" s="25" t="s">
        <v>233</v>
      </c>
      <c r="B25" s="32" t="s">
        <v>521</v>
      </c>
      <c r="C25" s="129"/>
      <c r="D25" s="167"/>
      <c r="E25" s="167"/>
      <c r="F25" s="167"/>
      <c r="G25" s="167"/>
      <c r="H25" s="167"/>
      <c r="I25" s="167"/>
      <c r="J25" s="167"/>
      <c r="K25" s="167"/>
      <c r="L25" s="167"/>
      <c r="M25" s="167"/>
      <c r="N25" s="167"/>
      <c r="O25" s="167"/>
      <c r="P25" s="167"/>
      <c r="Q25" s="167"/>
      <c r="R25" s="167"/>
      <c r="S25" s="167">
        <f t="shared" si="0"/>
        <v>0</v>
      </c>
      <c r="T25" s="167">
        <f t="shared" si="1"/>
        <v>0</v>
      </c>
      <c r="U25" s="167">
        <f t="shared" si="1"/>
        <v>0</v>
      </c>
    </row>
    <row r="26" spans="1:21" ht="21.75" customHeight="1" x14ac:dyDescent="0.25">
      <c r="A26" s="25" t="s">
        <v>234</v>
      </c>
      <c r="B26" s="32" t="s">
        <v>123</v>
      </c>
      <c r="C26" s="129"/>
      <c r="D26" s="167"/>
      <c r="E26" s="167"/>
      <c r="F26" s="167"/>
      <c r="G26" s="167"/>
      <c r="H26" s="167"/>
      <c r="I26" s="167"/>
      <c r="J26" s="167"/>
      <c r="K26" s="167"/>
      <c r="L26" s="167"/>
      <c r="M26" s="167"/>
      <c r="N26" s="167"/>
      <c r="O26" s="167"/>
      <c r="P26" s="167"/>
      <c r="Q26" s="167"/>
      <c r="R26" s="167"/>
      <c r="S26" s="167">
        <f t="shared" si="0"/>
        <v>0</v>
      </c>
      <c r="T26" s="167">
        <f t="shared" si="1"/>
        <v>0</v>
      </c>
      <c r="U26" s="167">
        <f t="shared" si="1"/>
        <v>0</v>
      </c>
    </row>
    <row r="27" spans="1:21" ht="21.75" customHeight="1" x14ac:dyDescent="0.25">
      <c r="A27" s="25" t="s">
        <v>235</v>
      </c>
      <c r="B27" s="222" t="s">
        <v>742</v>
      </c>
      <c r="C27" s="129"/>
      <c r="D27" s="167"/>
      <c r="E27" s="167"/>
      <c r="F27" s="167"/>
      <c r="G27" s="167"/>
      <c r="H27" s="167"/>
      <c r="I27" s="167"/>
      <c r="J27" s="167"/>
      <c r="K27" s="167"/>
      <c r="L27" s="167"/>
      <c r="M27" s="167"/>
      <c r="N27" s="167"/>
      <c r="O27" s="167"/>
      <c r="P27" s="167"/>
      <c r="Q27" s="167"/>
      <c r="R27" s="167"/>
      <c r="S27" s="167">
        <f t="shared" si="0"/>
        <v>0</v>
      </c>
      <c r="T27" s="167">
        <f t="shared" si="1"/>
        <v>0</v>
      </c>
      <c r="U27" s="167">
        <f t="shared" si="1"/>
        <v>0</v>
      </c>
    </row>
    <row r="28" spans="1:21" s="34" customFormat="1" ht="21.75" customHeight="1" x14ac:dyDescent="0.25">
      <c r="A28" s="25" t="s">
        <v>236</v>
      </c>
      <c r="B28" s="33" t="s">
        <v>32</v>
      </c>
      <c r="C28" s="128"/>
      <c r="D28" s="168">
        <f>+D9+D10+D11+D12+D13+D23+D24</f>
        <v>904462</v>
      </c>
      <c r="E28" s="168">
        <f t="shared" ref="E28:U28" si="5">+E9+E10+E11+E12+E13+E23+E24</f>
        <v>19044359</v>
      </c>
      <c r="F28" s="168">
        <f t="shared" si="5"/>
        <v>19044359</v>
      </c>
      <c r="G28" s="168">
        <f t="shared" si="5"/>
        <v>73314768</v>
      </c>
      <c r="H28" s="168">
        <f t="shared" si="5"/>
        <v>77557821</v>
      </c>
      <c r="I28" s="168">
        <f t="shared" si="5"/>
        <v>39870823</v>
      </c>
      <c r="J28" s="168">
        <f t="shared" si="5"/>
        <v>197075659</v>
      </c>
      <c r="K28" s="168">
        <f t="shared" si="5"/>
        <v>201861842</v>
      </c>
      <c r="L28" s="168">
        <f t="shared" si="5"/>
        <v>190759296</v>
      </c>
      <c r="M28" s="168">
        <f t="shared" si="5"/>
        <v>154076740</v>
      </c>
      <c r="N28" s="168">
        <f t="shared" si="5"/>
        <v>158895108</v>
      </c>
      <c r="O28" s="168">
        <f t="shared" si="5"/>
        <v>143356668</v>
      </c>
      <c r="P28" s="168">
        <f t="shared" si="5"/>
        <v>0</v>
      </c>
      <c r="Q28" s="168">
        <f t="shared" si="5"/>
        <v>0</v>
      </c>
      <c r="R28" s="168">
        <f t="shared" si="5"/>
        <v>0</v>
      </c>
      <c r="S28" s="168">
        <f t="shared" si="5"/>
        <v>425371629</v>
      </c>
      <c r="T28" s="168">
        <f t="shared" si="5"/>
        <v>457359130</v>
      </c>
      <c r="U28" s="168">
        <f t="shared" si="5"/>
        <v>393031146</v>
      </c>
    </row>
    <row r="29" spans="1:21" s="34" customFormat="1" ht="21.75" customHeight="1" x14ac:dyDescent="0.25">
      <c r="A29" s="25" t="s">
        <v>261</v>
      </c>
      <c r="B29" s="33" t="s">
        <v>33</v>
      </c>
      <c r="C29" s="128"/>
      <c r="D29" s="168">
        <f>+D17+D18+D19+D25+D26</f>
        <v>0</v>
      </c>
      <c r="E29" s="168">
        <f t="shared" ref="E29:U29" si="6">+E17+E18+E19+E25+E26</f>
        <v>0</v>
      </c>
      <c r="F29" s="168">
        <f t="shared" si="6"/>
        <v>0</v>
      </c>
      <c r="G29" s="168">
        <f t="shared" si="6"/>
        <v>381000</v>
      </c>
      <c r="H29" s="168">
        <f t="shared" si="6"/>
        <v>381000</v>
      </c>
      <c r="I29" s="168">
        <f t="shared" si="6"/>
        <v>45410</v>
      </c>
      <c r="J29" s="168">
        <f t="shared" si="6"/>
        <v>858520</v>
      </c>
      <c r="K29" s="168">
        <f t="shared" si="6"/>
        <v>2188720</v>
      </c>
      <c r="L29" s="168">
        <f t="shared" si="6"/>
        <v>1963613</v>
      </c>
      <c r="M29" s="168">
        <f t="shared" si="6"/>
        <v>635000</v>
      </c>
      <c r="N29" s="168">
        <f t="shared" si="6"/>
        <v>2932748</v>
      </c>
      <c r="O29" s="168">
        <f t="shared" si="6"/>
        <v>2510637</v>
      </c>
      <c r="P29" s="168">
        <f t="shared" si="6"/>
        <v>0</v>
      </c>
      <c r="Q29" s="168">
        <f t="shared" si="6"/>
        <v>0</v>
      </c>
      <c r="R29" s="168">
        <f t="shared" si="6"/>
        <v>0</v>
      </c>
      <c r="S29" s="168">
        <f t="shared" si="6"/>
        <v>1874520</v>
      </c>
      <c r="T29" s="168">
        <f t="shared" si="6"/>
        <v>5502468</v>
      </c>
      <c r="U29" s="168">
        <f t="shared" si="6"/>
        <v>4519660</v>
      </c>
    </row>
    <row r="30" spans="1:21" s="34" customFormat="1" ht="21.75" customHeight="1" x14ac:dyDescent="0.25">
      <c r="A30" s="25" t="s">
        <v>262</v>
      </c>
      <c r="B30" s="33" t="s">
        <v>328</v>
      </c>
      <c r="C30" s="128" t="s">
        <v>31</v>
      </c>
      <c r="D30" s="168">
        <f>SUM(D28:D29)</f>
        <v>904462</v>
      </c>
      <c r="E30" s="168">
        <f t="shared" ref="E30:U30" si="7">SUM(E28:E29)</f>
        <v>19044359</v>
      </c>
      <c r="F30" s="168">
        <f t="shared" si="7"/>
        <v>19044359</v>
      </c>
      <c r="G30" s="168">
        <f t="shared" si="7"/>
        <v>73695768</v>
      </c>
      <c r="H30" s="168">
        <f t="shared" si="7"/>
        <v>77938821</v>
      </c>
      <c r="I30" s="168">
        <f t="shared" si="7"/>
        <v>39916233</v>
      </c>
      <c r="J30" s="168">
        <f t="shared" si="7"/>
        <v>197934179</v>
      </c>
      <c r="K30" s="168">
        <f t="shared" si="7"/>
        <v>204050562</v>
      </c>
      <c r="L30" s="168">
        <f t="shared" si="7"/>
        <v>192722909</v>
      </c>
      <c r="M30" s="168">
        <f t="shared" si="7"/>
        <v>154711740</v>
      </c>
      <c r="N30" s="168">
        <f t="shared" si="7"/>
        <v>161827856</v>
      </c>
      <c r="O30" s="168">
        <f t="shared" si="7"/>
        <v>145867305</v>
      </c>
      <c r="P30" s="168">
        <f t="shared" si="7"/>
        <v>0</v>
      </c>
      <c r="Q30" s="168">
        <f t="shared" si="7"/>
        <v>0</v>
      </c>
      <c r="R30" s="168">
        <f t="shared" si="7"/>
        <v>0</v>
      </c>
      <c r="S30" s="168">
        <f t="shared" si="7"/>
        <v>427246149</v>
      </c>
      <c r="T30" s="168">
        <f t="shared" si="7"/>
        <v>462861598</v>
      </c>
      <c r="U30" s="168">
        <f t="shared" si="7"/>
        <v>397550806</v>
      </c>
    </row>
    <row r="31" spans="1:21" ht="21.75" customHeight="1" x14ac:dyDescent="0.25">
      <c r="A31" s="25" t="s">
        <v>263</v>
      </c>
      <c r="B31" s="27" t="s">
        <v>52</v>
      </c>
      <c r="C31" s="31" t="s">
        <v>212</v>
      </c>
      <c r="D31" s="167"/>
      <c r="E31" s="167"/>
      <c r="F31" s="167"/>
      <c r="G31" s="167"/>
      <c r="H31" s="167"/>
      <c r="I31" s="167"/>
      <c r="J31" s="167"/>
      <c r="K31" s="167"/>
      <c r="L31" s="167"/>
      <c r="M31" s="167"/>
      <c r="N31" s="167"/>
      <c r="O31" s="167"/>
      <c r="P31" s="167"/>
      <c r="Q31" s="167"/>
      <c r="R31" s="167"/>
      <c r="S31" s="167">
        <f t="shared" si="0"/>
        <v>0</v>
      </c>
      <c r="T31" s="167">
        <f t="shared" si="1"/>
        <v>0</v>
      </c>
      <c r="U31" s="167">
        <f t="shared" si="1"/>
        <v>0</v>
      </c>
    </row>
    <row r="32" spans="1:21" ht="21.75" customHeight="1" x14ac:dyDescent="0.25">
      <c r="A32" s="25" t="s">
        <v>264</v>
      </c>
      <c r="B32" s="27" t="s">
        <v>223</v>
      </c>
      <c r="C32" s="31" t="s">
        <v>213</v>
      </c>
      <c r="D32" s="167"/>
      <c r="E32" s="167"/>
      <c r="F32" s="167"/>
      <c r="G32" s="167"/>
      <c r="H32" s="167"/>
      <c r="I32" s="167"/>
      <c r="J32" s="167"/>
      <c r="K32" s="167"/>
      <c r="L32" s="167"/>
      <c r="M32" s="167"/>
      <c r="N32" s="167"/>
      <c r="O32" s="167"/>
      <c r="P32" s="167"/>
      <c r="Q32" s="167"/>
      <c r="R32" s="167"/>
      <c r="S32" s="167">
        <f t="shared" si="0"/>
        <v>0</v>
      </c>
      <c r="T32" s="167">
        <f t="shared" si="1"/>
        <v>0</v>
      </c>
      <c r="U32" s="167">
        <f t="shared" si="1"/>
        <v>0</v>
      </c>
    </row>
    <row r="33" spans="1:21" ht="21.75" customHeight="1" x14ac:dyDescent="0.25">
      <c r="A33" s="25" t="s">
        <v>265</v>
      </c>
      <c r="B33" s="27" t="s">
        <v>222</v>
      </c>
      <c r="C33" s="31" t="s">
        <v>214</v>
      </c>
      <c r="D33" s="167"/>
      <c r="E33" s="167"/>
      <c r="F33" s="167"/>
      <c r="G33" s="167"/>
      <c r="H33" s="167"/>
      <c r="I33" s="167"/>
      <c r="J33" s="167"/>
      <c r="K33" s="167"/>
      <c r="L33" s="167"/>
      <c r="M33" s="167"/>
      <c r="N33" s="167"/>
      <c r="O33" s="167"/>
      <c r="P33" s="167"/>
      <c r="Q33" s="167"/>
      <c r="R33" s="167"/>
      <c r="S33" s="167">
        <f t="shared" si="0"/>
        <v>0</v>
      </c>
      <c r="T33" s="167">
        <f t="shared" si="1"/>
        <v>0</v>
      </c>
      <c r="U33" s="167">
        <f t="shared" si="1"/>
        <v>0</v>
      </c>
    </row>
    <row r="34" spans="1:21" ht="21.75" customHeight="1" x14ac:dyDescent="0.25">
      <c r="A34" s="25" t="s">
        <v>266</v>
      </c>
      <c r="B34" s="28" t="s">
        <v>0</v>
      </c>
      <c r="C34" s="31" t="s">
        <v>215</v>
      </c>
      <c r="D34" s="167"/>
      <c r="E34" s="167"/>
      <c r="F34" s="167"/>
      <c r="G34" s="169">
        <v>4827100</v>
      </c>
      <c r="H34" s="169">
        <v>8218153</v>
      </c>
      <c r="I34" s="169">
        <v>7861462</v>
      </c>
      <c r="J34" s="169">
        <v>4500100</v>
      </c>
      <c r="K34" s="169">
        <v>6353333</v>
      </c>
      <c r="L34" s="169">
        <v>5843033</v>
      </c>
      <c r="M34" s="169">
        <v>3500000</v>
      </c>
      <c r="N34" s="169">
        <v>4745618</v>
      </c>
      <c r="O34" s="169">
        <v>4465984</v>
      </c>
      <c r="P34" s="167">
        <v>904462</v>
      </c>
      <c r="Q34" s="167">
        <f>904462-858382-46080</f>
        <v>0</v>
      </c>
      <c r="R34" s="167"/>
      <c r="S34" s="167">
        <f t="shared" si="0"/>
        <v>13731662</v>
      </c>
      <c r="T34" s="167">
        <f t="shared" si="1"/>
        <v>19317104</v>
      </c>
      <c r="U34" s="167">
        <f t="shared" si="1"/>
        <v>18170479</v>
      </c>
    </row>
    <row r="35" spans="1:21" ht="21.75" customHeight="1" x14ac:dyDescent="0.25">
      <c r="A35" s="25" t="s">
        <v>267</v>
      </c>
      <c r="B35" s="27" t="s">
        <v>245</v>
      </c>
      <c r="C35" s="31" t="s">
        <v>216</v>
      </c>
      <c r="D35" s="167"/>
      <c r="E35" s="167"/>
      <c r="F35" s="167"/>
      <c r="G35" s="167"/>
      <c r="H35" s="167"/>
      <c r="I35" s="167"/>
      <c r="J35" s="167"/>
      <c r="K35" s="167"/>
      <c r="L35" s="167"/>
      <c r="M35" s="167"/>
      <c r="N35" s="167"/>
      <c r="O35" s="167"/>
      <c r="P35" s="167"/>
      <c r="Q35" s="167"/>
      <c r="R35" s="167"/>
      <c r="S35" s="167">
        <f t="shared" si="0"/>
        <v>0</v>
      </c>
      <c r="T35" s="167">
        <f t="shared" si="1"/>
        <v>0</v>
      </c>
      <c r="U35" s="167">
        <f t="shared" si="1"/>
        <v>0</v>
      </c>
    </row>
    <row r="36" spans="1:21" ht="21.75" customHeight="1" x14ac:dyDescent="0.25">
      <c r="A36" s="25" t="s">
        <v>268</v>
      </c>
      <c r="B36" s="27" t="s">
        <v>240</v>
      </c>
      <c r="C36" s="31" t="s">
        <v>217</v>
      </c>
      <c r="D36" s="167"/>
      <c r="E36" s="167"/>
      <c r="F36" s="167"/>
      <c r="G36" s="167"/>
      <c r="H36" s="167"/>
      <c r="I36" s="167"/>
      <c r="J36" s="167"/>
      <c r="K36" s="167"/>
      <c r="L36" s="167"/>
      <c r="M36" s="167"/>
      <c r="N36" s="167"/>
      <c r="O36" s="167"/>
      <c r="P36" s="167"/>
      <c r="Q36" s="167"/>
      <c r="R36" s="167"/>
      <c r="S36" s="167">
        <f t="shared" si="0"/>
        <v>0</v>
      </c>
      <c r="T36" s="167">
        <f t="shared" si="1"/>
        <v>0</v>
      </c>
      <c r="U36" s="167">
        <f t="shared" si="1"/>
        <v>0</v>
      </c>
    </row>
    <row r="37" spans="1:21" ht="21.75" customHeight="1" x14ac:dyDescent="0.25">
      <c r="A37" s="25" t="s">
        <v>269</v>
      </c>
      <c r="B37" s="27" t="s">
        <v>241</v>
      </c>
      <c r="C37" s="31" t="s">
        <v>218</v>
      </c>
      <c r="D37" s="167"/>
      <c r="E37" s="167"/>
      <c r="F37" s="167"/>
      <c r="G37" s="167"/>
      <c r="H37" s="167"/>
      <c r="I37" s="167"/>
      <c r="J37" s="167"/>
      <c r="K37" s="167"/>
      <c r="L37" s="167"/>
      <c r="M37" s="167"/>
      <c r="N37" s="167"/>
      <c r="O37" s="167"/>
      <c r="P37" s="167"/>
      <c r="Q37" s="167"/>
      <c r="R37" s="167"/>
      <c r="S37" s="167">
        <f t="shared" si="0"/>
        <v>0</v>
      </c>
      <c r="T37" s="167">
        <f t="shared" si="1"/>
        <v>0</v>
      </c>
      <c r="U37" s="167">
        <f t="shared" si="1"/>
        <v>0</v>
      </c>
    </row>
    <row r="38" spans="1:21" ht="21.75" customHeight="1" x14ac:dyDescent="0.25">
      <c r="A38" s="25" t="s">
        <v>270</v>
      </c>
      <c r="B38" s="28" t="s">
        <v>242</v>
      </c>
      <c r="C38" s="31" t="s">
        <v>219</v>
      </c>
      <c r="D38" s="167">
        <f>+D31+D32+D33+D34+D35+D36+D37</f>
        <v>0</v>
      </c>
      <c r="E38" s="167">
        <f t="shared" ref="E38:U38" si="8">+E31+E32+E33+E34+E35+E36+E37</f>
        <v>0</v>
      </c>
      <c r="F38" s="167">
        <f t="shared" si="8"/>
        <v>0</v>
      </c>
      <c r="G38" s="167">
        <f t="shared" si="8"/>
        <v>4827100</v>
      </c>
      <c r="H38" s="167">
        <f t="shared" si="8"/>
        <v>8218153</v>
      </c>
      <c r="I38" s="167">
        <f t="shared" si="8"/>
        <v>7861462</v>
      </c>
      <c r="J38" s="167">
        <f t="shared" si="8"/>
        <v>4500100</v>
      </c>
      <c r="K38" s="167">
        <f t="shared" si="8"/>
        <v>6353333</v>
      </c>
      <c r="L38" s="167">
        <f t="shared" si="8"/>
        <v>5843033</v>
      </c>
      <c r="M38" s="167">
        <f t="shared" si="8"/>
        <v>3500000</v>
      </c>
      <c r="N38" s="167">
        <f t="shared" si="8"/>
        <v>4745618</v>
      </c>
      <c r="O38" s="167">
        <f t="shared" si="8"/>
        <v>4465984</v>
      </c>
      <c r="P38" s="167">
        <f t="shared" si="8"/>
        <v>904462</v>
      </c>
      <c r="Q38" s="167">
        <f t="shared" si="8"/>
        <v>0</v>
      </c>
      <c r="R38" s="167">
        <f t="shared" si="8"/>
        <v>0</v>
      </c>
      <c r="S38" s="168">
        <f t="shared" si="8"/>
        <v>13731662</v>
      </c>
      <c r="T38" s="168">
        <f t="shared" si="8"/>
        <v>19317104</v>
      </c>
      <c r="U38" s="168">
        <f t="shared" si="8"/>
        <v>18170479</v>
      </c>
    </row>
    <row r="39" spans="1:21" ht="21.75" customHeight="1" x14ac:dyDescent="0.25">
      <c r="A39" s="25" t="s">
        <v>271</v>
      </c>
      <c r="B39" s="31" t="s">
        <v>243</v>
      </c>
      <c r="C39" s="128" t="s">
        <v>221</v>
      </c>
      <c r="D39" s="167">
        <f>SUM(D41:D45)</f>
        <v>413514487</v>
      </c>
      <c r="E39" s="167">
        <f t="shared" ref="E39:U39" si="9">SUM(E41:E45)</f>
        <v>443544494</v>
      </c>
      <c r="F39" s="167">
        <f t="shared" si="9"/>
        <v>392013075</v>
      </c>
      <c r="G39" s="167">
        <f t="shared" si="9"/>
        <v>0</v>
      </c>
      <c r="H39" s="167">
        <f t="shared" si="9"/>
        <v>0</v>
      </c>
      <c r="I39" s="167">
        <f t="shared" si="9"/>
        <v>0</v>
      </c>
      <c r="J39" s="167">
        <f t="shared" si="9"/>
        <v>0</v>
      </c>
      <c r="K39" s="167">
        <f t="shared" si="9"/>
        <v>0</v>
      </c>
      <c r="L39" s="167">
        <f t="shared" si="9"/>
        <v>0</v>
      </c>
      <c r="M39" s="167">
        <f t="shared" si="9"/>
        <v>0</v>
      </c>
      <c r="N39" s="167">
        <f t="shared" si="9"/>
        <v>0</v>
      </c>
      <c r="O39" s="167">
        <f t="shared" si="9"/>
        <v>0</v>
      </c>
      <c r="P39" s="167">
        <f t="shared" si="9"/>
        <v>0</v>
      </c>
      <c r="Q39" s="167">
        <f t="shared" si="9"/>
        <v>0</v>
      </c>
      <c r="R39" s="167">
        <f t="shared" si="9"/>
        <v>0</v>
      </c>
      <c r="S39" s="167">
        <f t="shared" si="9"/>
        <v>413514487</v>
      </c>
      <c r="T39" s="167">
        <f t="shared" si="9"/>
        <v>443544494</v>
      </c>
      <c r="U39" s="167">
        <f t="shared" si="9"/>
        <v>392013075</v>
      </c>
    </row>
    <row r="40" spans="1:21" ht="21.75" customHeight="1" x14ac:dyDescent="0.25">
      <c r="A40" s="25" t="s">
        <v>272</v>
      </c>
      <c r="B40" s="90" t="s">
        <v>533</v>
      </c>
      <c r="C40" s="128"/>
      <c r="D40" s="167"/>
      <c r="E40" s="167"/>
      <c r="F40" s="167"/>
      <c r="G40" s="167"/>
      <c r="H40" s="167"/>
      <c r="I40" s="167"/>
      <c r="J40" s="167"/>
      <c r="K40" s="167"/>
      <c r="L40" s="167"/>
      <c r="M40" s="167"/>
      <c r="N40" s="167"/>
      <c r="O40" s="167"/>
      <c r="P40" s="167"/>
      <c r="Q40" s="167"/>
      <c r="R40" s="167"/>
      <c r="S40" s="167">
        <f t="shared" si="0"/>
        <v>0</v>
      </c>
      <c r="T40" s="167">
        <f t="shared" si="1"/>
        <v>0</v>
      </c>
      <c r="U40" s="167">
        <f t="shared" si="1"/>
        <v>0</v>
      </c>
    </row>
    <row r="41" spans="1:21" ht="21.75" customHeight="1" x14ac:dyDescent="0.25">
      <c r="A41" s="25" t="s">
        <v>273</v>
      </c>
      <c r="B41" s="32" t="s">
        <v>768</v>
      </c>
      <c r="C41" s="129"/>
      <c r="D41" s="167">
        <f>328897+326636</f>
        <v>655533</v>
      </c>
      <c r="E41" s="167">
        <f>328897+326636+19044359</f>
        <v>19699892</v>
      </c>
      <c r="F41" s="167">
        <v>19699892</v>
      </c>
      <c r="G41" s="167"/>
      <c r="H41" s="167"/>
      <c r="I41" s="167"/>
      <c r="J41" s="167"/>
      <c r="K41" s="167"/>
      <c r="L41" s="167"/>
      <c r="M41" s="167"/>
      <c r="N41" s="167"/>
      <c r="O41" s="167"/>
      <c r="P41" s="167"/>
      <c r="Q41" s="167"/>
      <c r="R41" s="167"/>
      <c r="S41" s="167">
        <f t="shared" si="0"/>
        <v>655533</v>
      </c>
      <c r="T41" s="167">
        <f t="shared" si="1"/>
        <v>19699892</v>
      </c>
      <c r="U41" s="167">
        <f t="shared" si="1"/>
        <v>19699892</v>
      </c>
    </row>
    <row r="42" spans="1:21" ht="21.75" customHeight="1" x14ac:dyDescent="0.25">
      <c r="A42" s="25" t="s">
        <v>277</v>
      </c>
      <c r="B42" s="32" t="s">
        <v>769</v>
      </c>
      <c r="C42" s="129"/>
      <c r="D42" s="167"/>
      <c r="E42" s="167"/>
      <c r="F42" s="167"/>
      <c r="G42" s="167"/>
      <c r="H42" s="167"/>
      <c r="I42" s="167"/>
      <c r="J42" s="167"/>
      <c r="K42" s="167"/>
      <c r="L42" s="167"/>
      <c r="M42" s="167"/>
      <c r="N42" s="167"/>
      <c r="O42" s="167"/>
      <c r="P42" s="167"/>
      <c r="Q42" s="167"/>
      <c r="R42" s="167"/>
      <c r="S42" s="167">
        <f t="shared" si="0"/>
        <v>0</v>
      </c>
      <c r="T42" s="167">
        <f t="shared" si="1"/>
        <v>0</v>
      </c>
      <c r="U42" s="167">
        <f t="shared" si="1"/>
        <v>0</v>
      </c>
    </row>
    <row r="43" spans="1:21" ht="21.75" customHeight="1" x14ac:dyDescent="0.25">
      <c r="A43" s="25" t="s">
        <v>278</v>
      </c>
      <c r="B43" s="32" t="s">
        <v>506</v>
      </c>
      <c r="C43" s="129"/>
      <c r="D43" s="167">
        <f>S28-S31-S33-S34-S36-S41</f>
        <v>410984434</v>
      </c>
      <c r="E43" s="167">
        <f>T28-T31-T33-T34-T36-T41</f>
        <v>418342134</v>
      </c>
      <c r="F43" s="167">
        <f>372313183-F44</f>
        <v>366810715</v>
      </c>
      <c r="G43" s="167"/>
      <c r="H43" s="167"/>
      <c r="I43" s="167"/>
      <c r="J43" s="167"/>
      <c r="K43" s="167"/>
      <c r="L43" s="167"/>
      <c r="M43" s="167"/>
      <c r="N43" s="167"/>
      <c r="O43" s="167"/>
      <c r="P43" s="167"/>
      <c r="Q43" s="167"/>
      <c r="R43" s="167"/>
      <c r="S43" s="167">
        <f t="shared" si="0"/>
        <v>410984434</v>
      </c>
      <c r="T43" s="167">
        <f t="shared" si="1"/>
        <v>418342134</v>
      </c>
      <c r="U43" s="167">
        <f t="shared" si="1"/>
        <v>366810715</v>
      </c>
    </row>
    <row r="44" spans="1:21" ht="21.75" customHeight="1" x14ac:dyDescent="0.25">
      <c r="A44" s="25" t="s">
        <v>279</v>
      </c>
      <c r="B44" s="32" t="s">
        <v>507</v>
      </c>
      <c r="C44" s="129"/>
      <c r="D44" s="167">
        <f>S29-S32-S35-S37-S42</f>
        <v>1874520</v>
      </c>
      <c r="E44" s="167">
        <f>T29-T32-T35-T37-T42</f>
        <v>5502468</v>
      </c>
      <c r="F44" s="167">
        <v>5502468</v>
      </c>
      <c r="G44" s="167"/>
      <c r="H44" s="167"/>
      <c r="I44" s="167"/>
      <c r="J44" s="167"/>
      <c r="K44" s="167"/>
      <c r="L44" s="167"/>
      <c r="M44" s="167"/>
      <c r="N44" s="167"/>
      <c r="O44" s="167"/>
      <c r="P44" s="167"/>
      <c r="Q44" s="167"/>
      <c r="R44" s="167"/>
      <c r="S44" s="167">
        <f t="shared" si="0"/>
        <v>1874520</v>
      </c>
      <c r="T44" s="167">
        <f t="shared" si="1"/>
        <v>5502468</v>
      </c>
      <c r="U44" s="167">
        <f t="shared" si="1"/>
        <v>5502468</v>
      </c>
    </row>
    <row r="45" spans="1:21" ht="21.75" customHeight="1" x14ac:dyDescent="0.25">
      <c r="A45" s="25" t="s">
        <v>280</v>
      </c>
      <c r="B45" s="32" t="s">
        <v>542</v>
      </c>
      <c r="C45" s="129"/>
      <c r="D45" s="167"/>
      <c r="E45" s="167"/>
      <c r="F45" s="167"/>
      <c r="G45" s="167"/>
      <c r="H45" s="167"/>
      <c r="I45" s="167"/>
      <c r="J45" s="167"/>
      <c r="K45" s="167"/>
      <c r="L45" s="167"/>
      <c r="M45" s="167"/>
      <c r="N45" s="167"/>
      <c r="O45" s="167"/>
      <c r="P45" s="167"/>
      <c r="Q45" s="167"/>
      <c r="R45" s="167"/>
      <c r="S45" s="167">
        <f t="shared" si="0"/>
        <v>0</v>
      </c>
      <c r="T45" s="167">
        <f t="shared" si="1"/>
        <v>0</v>
      </c>
      <c r="U45" s="167">
        <f t="shared" si="1"/>
        <v>0</v>
      </c>
    </row>
    <row r="46" spans="1:21" ht="21.75" customHeight="1" x14ac:dyDescent="0.25">
      <c r="A46" s="25" t="s">
        <v>281</v>
      </c>
      <c r="B46" s="222" t="s">
        <v>741</v>
      </c>
      <c r="C46" s="129"/>
      <c r="D46" s="167"/>
      <c r="E46" s="167"/>
      <c r="F46" s="167"/>
      <c r="G46" s="167"/>
      <c r="H46" s="167"/>
      <c r="I46" s="167"/>
      <c r="J46" s="167"/>
      <c r="K46" s="167"/>
      <c r="L46" s="167"/>
      <c r="M46" s="167"/>
      <c r="N46" s="167"/>
      <c r="O46" s="167"/>
      <c r="P46" s="167"/>
      <c r="Q46" s="167"/>
      <c r="R46" s="167"/>
      <c r="S46" s="167">
        <f t="shared" si="0"/>
        <v>0</v>
      </c>
      <c r="T46" s="167">
        <f t="shared" si="1"/>
        <v>0</v>
      </c>
      <c r="U46" s="167">
        <f t="shared" si="1"/>
        <v>0</v>
      </c>
    </row>
    <row r="47" spans="1:21" ht="21.75" customHeight="1" x14ac:dyDescent="0.25">
      <c r="A47" s="25" t="s">
        <v>282</v>
      </c>
      <c r="B47" s="33" t="s">
        <v>109</v>
      </c>
      <c r="C47" s="128"/>
      <c r="D47" s="168">
        <f>+D31+D33+D34+D36+D41+D43</f>
        <v>411639967</v>
      </c>
      <c r="E47" s="168">
        <f t="shared" ref="E47:U47" si="10">+E31+E33+E34+E36+E41+E43</f>
        <v>438042026</v>
      </c>
      <c r="F47" s="168">
        <f t="shared" si="10"/>
        <v>386510607</v>
      </c>
      <c r="G47" s="168">
        <f t="shared" si="10"/>
        <v>4827100</v>
      </c>
      <c r="H47" s="168">
        <f t="shared" si="10"/>
        <v>8218153</v>
      </c>
      <c r="I47" s="168">
        <f t="shared" si="10"/>
        <v>7861462</v>
      </c>
      <c r="J47" s="168">
        <f t="shared" si="10"/>
        <v>4500100</v>
      </c>
      <c r="K47" s="168">
        <f t="shared" si="10"/>
        <v>6353333</v>
      </c>
      <c r="L47" s="168">
        <f t="shared" si="10"/>
        <v>5843033</v>
      </c>
      <c r="M47" s="168">
        <f t="shared" si="10"/>
        <v>3500000</v>
      </c>
      <c r="N47" s="168">
        <f t="shared" si="10"/>
        <v>4745618</v>
      </c>
      <c r="O47" s="168">
        <f t="shared" si="10"/>
        <v>4465984</v>
      </c>
      <c r="P47" s="168">
        <f t="shared" si="10"/>
        <v>904462</v>
      </c>
      <c r="Q47" s="168">
        <f t="shared" si="10"/>
        <v>0</v>
      </c>
      <c r="R47" s="168">
        <f t="shared" si="10"/>
        <v>0</v>
      </c>
      <c r="S47" s="168">
        <f t="shared" si="10"/>
        <v>425371629</v>
      </c>
      <c r="T47" s="168">
        <f t="shared" si="10"/>
        <v>457359130</v>
      </c>
      <c r="U47" s="168">
        <f t="shared" si="10"/>
        <v>404681086</v>
      </c>
    </row>
    <row r="48" spans="1:21" ht="21.75" customHeight="1" x14ac:dyDescent="0.25">
      <c r="A48" s="25" t="s">
        <v>283</v>
      </c>
      <c r="B48" s="33" t="s">
        <v>110</v>
      </c>
      <c r="C48" s="128"/>
      <c r="D48" s="168">
        <f>+D32+D35+D37+D42+D429+D45+D44</f>
        <v>1874520</v>
      </c>
      <c r="E48" s="168">
        <f t="shared" ref="E48:U48" si="11">+E32+E35+E37+E42+E429+E45+E44</f>
        <v>5502468</v>
      </c>
      <c r="F48" s="168">
        <f t="shared" si="11"/>
        <v>5502468</v>
      </c>
      <c r="G48" s="168">
        <f t="shared" si="11"/>
        <v>0</v>
      </c>
      <c r="H48" s="168">
        <f t="shared" si="11"/>
        <v>0</v>
      </c>
      <c r="I48" s="168">
        <f t="shared" si="11"/>
        <v>0</v>
      </c>
      <c r="J48" s="168">
        <f t="shared" si="11"/>
        <v>0</v>
      </c>
      <c r="K48" s="168">
        <f t="shared" si="11"/>
        <v>0</v>
      </c>
      <c r="L48" s="168">
        <f t="shared" si="11"/>
        <v>0</v>
      </c>
      <c r="M48" s="168">
        <f t="shared" si="11"/>
        <v>0</v>
      </c>
      <c r="N48" s="168">
        <f t="shared" si="11"/>
        <v>0</v>
      </c>
      <c r="O48" s="168">
        <f t="shared" si="11"/>
        <v>0</v>
      </c>
      <c r="P48" s="168">
        <f t="shared" si="11"/>
        <v>0</v>
      </c>
      <c r="Q48" s="168">
        <f t="shared" si="11"/>
        <v>0</v>
      </c>
      <c r="R48" s="168">
        <f t="shared" si="11"/>
        <v>0</v>
      </c>
      <c r="S48" s="168">
        <f t="shared" si="11"/>
        <v>1874520</v>
      </c>
      <c r="T48" s="168">
        <f t="shared" si="11"/>
        <v>5502468</v>
      </c>
      <c r="U48" s="168">
        <f t="shared" si="11"/>
        <v>5502468</v>
      </c>
    </row>
    <row r="49" spans="1:22" ht="21.75" customHeight="1" x14ac:dyDescent="0.25">
      <c r="A49" s="25" t="s">
        <v>284</v>
      </c>
      <c r="B49" s="33" t="s">
        <v>329</v>
      </c>
      <c r="C49" s="128"/>
      <c r="D49" s="168">
        <f>+D47+D48</f>
        <v>413514487</v>
      </c>
      <c r="E49" s="168">
        <f t="shared" ref="E49:U49" si="12">+E47+E48</f>
        <v>443544494</v>
      </c>
      <c r="F49" s="168">
        <f t="shared" si="12"/>
        <v>392013075</v>
      </c>
      <c r="G49" s="168">
        <f t="shared" si="12"/>
        <v>4827100</v>
      </c>
      <c r="H49" s="168">
        <f t="shared" si="12"/>
        <v>8218153</v>
      </c>
      <c r="I49" s="168">
        <f t="shared" si="12"/>
        <v>7861462</v>
      </c>
      <c r="J49" s="168">
        <f t="shared" si="12"/>
        <v>4500100</v>
      </c>
      <c r="K49" s="168">
        <f t="shared" si="12"/>
        <v>6353333</v>
      </c>
      <c r="L49" s="168">
        <f t="shared" si="12"/>
        <v>5843033</v>
      </c>
      <c r="M49" s="168">
        <f t="shared" si="12"/>
        <v>3500000</v>
      </c>
      <c r="N49" s="168">
        <f t="shared" si="12"/>
        <v>4745618</v>
      </c>
      <c r="O49" s="168">
        <f t="shared" si="12"/>
        <v>4465984</v>
      </c>
      <c r="P49" s="168">
        <f t="shared" si="12"/>
        <v>904462</v>
      </c>
      <c r="Q49" s="168">
        <f t="shared" si="12"/>
        <v>0</v>
      </c>
      <c r="R49" s="168">
        <f t="shared" si="12"/>
        <v>0</v>
      </c>
      <c r="S49" s="168">
        <f t="shared" si="12"/>
        <v>427246149</v>
      </c>
      <c r="T49" s="168">
        <f t="shared" si="12"/>
        <v>462861598</v>
      </c>
      <c r="U49" s="168">
        <f t="shared" si="12"/>
        <v>410183554</v>
      </c>
      <c r="V49" s="80">
        <f>S49-S30</f>
        <v>0</v>
      </c>
    </row>
    <row r="50" spans="1:22" s="764" customFormat="1" ht="21.75" customHeight="1" x14ac:dyDescent="0.25">
      <c r="A50" s="761" t="s">
        <v>285</v>
      </c>
      <c r="B50" s="296" t="s">
        <v>2075</v>
      </c>
      <c r="C50" s="762"/>
      <c r="D50" s="763"/>
      <c r="E50" s="763"/>
      <c r="F50" s="763"/>
      <c r="G50" s="763">
        <v>5</v>
      </c>
      <c r="H50" s="763">
        <v>5</v>
      </c>
      <c r="I50" s="763">
        <v>3.8</v>
      </c>
      <c r="J50" s="763">
        <v>24</v>
      </c>
      <c r="K50" s="763">
        <v>24</v>
      </c>
      <c r="L50" s="763">
        <v>24.9</v>
      </c>
      <c r="M50" s="763">
        <v>20</v>
      </c>
      <c r="N50" s="763">
        <v>20</v>
      </c>
      <c r="O50" s="763">
        <v>19</v>
      </c>
      <c r="P50" s="763"/>
      <c r="Q50" s="763"/>
      <c r="R50" s="763"/>
      <c r="S50" s="763">
        <f t="shared" si="0"/>
        <v>49</v>
      </c>
      <c r="T50" s="763">
        <f t="shared" si="1"/>
        <v>49</v>
      </c>
      <c r="U50" s="763">
        <f t="shared" si="1"/>
        <v>47.7</v>
      </c>
    </row>
    <row r="51" spans="1:22" ht="21.75" customHeight="1" x14ac:dyDescent="0.25">
      <c r="A51" s="25" t="s">
        <v>286</v>
      </c>
      <c r="B51" s="46" t="s">
        <v>964</v>
      </c>
      <c r="C51" s="170"/>
      <c r="D51" s="167"/>
      <c r="E51" s="167"/>
      <c r="F51" s="167"/>
      <c r="G51" s="167"/>
      <c r="H51" s="167"/>
      <c r="I51" s="167"/>
      <c r="J51" s="198"/>
      <c r="K51" s="198"/>
      <c r="L51" s="198"/>
      <c r="M51" s="167"/>
      <c r="N51" s="167"/>
      <c r="O51" s="167"/>
      <c r="P51" s="167"/>
      <c r="Q51" s="167"/>
      <c r="R51" s="167"/>
      <c r="S51" s="198"/>
      <c r="T51" s="198"/>
      <c r="U51" s="198"/>
    </row>
  </sheetData>
  <mergeCells count="24">
    <mergeCell ref="D2:I2"/>
    <mergeCell ref="J2:O2"/>
    <mergeCell ref="P2:U2"/>
    <mergeCell ref="A3:C3"/>
    <mergeCell ref="B5:C5"/>
    <mergeCell ref="S4:U7"/>
    <mergeCell ref="J5:L5"/>
    <mergeCell ref="M5:O5"/>
    <mergeCell ref="P5:R5"/>
    <mergeCell ref="J6:L7"/>
    <mergeCell ref="M6:O7"/>
    <mergeCell ref="D4:F4"/>
    <mergeCell ref="G4:I4"/>
    <mergeCell ref="J4:L4"/>
    <mergeCell ref="M4:O4"/>
    <mergeCell ref="P4:R4"/>
    <mergeCell ref="P6:R7"/>
    <mergeCell ref="B6:C6"/>
    <mergeCell ref="A4:A7"/>
    <mergeCell ref="B4:C4"/>
    <mergeCell ref="D5:F5"/>
    <mergeCell ref="G5:I5"/>
    <mergeCell ref="D6:F7"/>
    <mergeCell ref="G6:I7"/>
  </mergeCells>
  <phoneticPr fontId="44" type="noConversion"/>
  <printOptions horizontalCentered="1" verticalCentered="1"/>
  <pageMargins left="0.15748031496062992" right="0.15748031496062992" top="0.39370078740157483" bottom="0.39370078740157483" header="0.51181102362204722" footer="0.51181102362204722"/>
  <pageSetup paperSize="9" scale="50" orientation="portrait" horizontalDpi="200" verticalDpi="200" r:id="rId1"/>
  <headerFooter alignWithMargins="0">
    <oddHeader>&amp;C2022. évi zárszámadás&amp;R&amp;A</oddHeader>
    <oddFooter>&amp;C&amp;P/&amp;N</oddFooter>
  </headerFooter>
  <colBreaks count="3" manualBreakCount="3">
    <brk id="9" max="49" man="1"/>
    <brk id="15" max="49" man="1"/>
    <brk id="21" max="5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A1:AB51"/>
  <sheetViews>
    <sheetView view="pageBreakPreview" zoomScale="80" zoomScaleNormal="70" zoomScaleSheetLayoutView="80" workbookViewId="0">
      <pane xSplit="3" ySplit="8" topLeftCell="D36" activePane="bottomRight" state="frozen"/>
      <selection activeCell="Y17" sqref="Y17"/>
      <selection pane="topRight" activeCell="Y17" sqref="Y17"/>
      <selection pane="bottomLeft" activeCell="Y17" sqref="Y17"/>
      <selection pane="bottomRight" activeCell="A50" sqref="A50"/>
    </sheetView>
  </sheetViews>
  <sheetFormatPr defaultColWidth="9.140625" defaultRowHeight="12.75" x14ac:dyDescent="0.2"/>
  <cols>
    <col min="1" max="1" width="7.140625" style="19" customWidth="1"/>
    <col min="2" max="2" width="64.85546875" style="19" customWidth="1"/>
    <col min="3" max="3" width="7.7109375" style="19" customWidth="1"/>
    <col min="4" max="5" width="17.85546875" style="20" customWidth="1"/>
    <col min="6" max="6" width="17.28515625" style="20" customWidth="1"/>
    <col min="7" max="7" width="17" style="20" customWidth="1"/>
    <col min="8" max="8" width="17.28515625" style="20" customWidth="1"/>
    <col min="9" max="9" width="16.7109375" style="20" customWidth="1"/>
    <col min="10" max="11" width="17.5703125" style="20" customWidth="1"/>
    <col min="12" max="12" width="16.7109375" style="20" customWidth="1"/>
    <col min="13" max="13" width="17" style="20" customWidth="1"/>
    <col min="14" max="15" width="18.140625" style="20" customWidth="1"/>
    <col min="16" max="17" width="17.85546875" style="20" customWidth="1"/>
    <col min="18" max="19" width="17.42578125" style="20" customWidth="1"/>
    <col min="20" max="20" width="16.28515625" style="20" customWidth="1"/>
    <col min="21" max="21" width="17.28515625" style="20" customWidth="1"/>
    <col min="22" max="22" width="17.140625" style="20" customWidth="1"/>
    <col min="23" max="23" width="17.28515625" style="20" customWidth="1"/>
    <col min="24" max="24" width="16.7109375" style="20" customWidth="1"/>
    <col min="25" max="25" width="17" style="20" customWidth="1"/>
    <col min="26" max="26" width="17.140625" style="19" customWidth="1"/>
    <col min="27" max="27" width="15.5703125" style="19" customWidth="1"/>
    <col min="28" max="16384" width="9.140625" style="19"/>
  </cols>
  <sheetData>
    <row r="1" spans="1:28" ht="15.75" x14ac:dyDescent="0.25">
      <c r="I1" s="166" t="s">
        <v>415</v>
      </c>
      <c r="O1" s="166" t="s">
        <v>415</v>
      </c>
      <c r="U1" s="166" t="s">
        <v>415</v>
      </c>
      <c r="AA1" s="166" t="s">
        <v>415</v>
      </c>
    </row>
    <row r="2" spans="1:28" ht="26.25" customHeight="1" x14ac:dyDescent="0.25">
      <c r="A2" s="372"/>
      <c r="B2" s="373"/>
      <c r="C2" s="373"/>
      <c r="D2" s="1057" t="s">
        <v>1986</v>
      </c>
      <c r="E2" s="1058"/>
      <c r="F2" s="1058"/>
      <c r="G2" s="1058"/>
      <c r="H2" s="1058"/>
      <c r="I2" s="1059"/>
      <c r="J2" s="1057" t="s">
        <v>1986</v>
      </c>
      <c r="K2" s="1058"/>
      <c r="L2" s="1058"/>
      <c r="M2" s="1058"/>
      <c r="N2" s="1058"/>
      <c r="O2" s="1059"/>
      <c r="P2" s="1057" t="s">
        <v>1986</v>
      </c>
      <c r="Q2" s="1058"/>
      <c r="R2" s="1058"/>
      <c r="S2" s="1058"/>
      <c r="T2" s="1058"/>
      <c r="U2" s="1059"/>
      <c r="V2" s="1057" t="s">
        <v>1986</v>
      </c>
      <c r="W2" s="1058"/>
      <c r="X2" s="1058"/>
      <c r="Y2" s="1058"/>
      <c r="Z2" s="1058"/>
      <c r="AA2" s="1059"/>
    </row>
    <row r="3" spans="1:28" ht="46.5" customHeight="1" x14ac:dyDescent="0.2">
      <c r="A3" s="1028" t="s">
        <v>133</v>
      </c>
      <c r="B3" s="1029"/>
      <c r="C3" s="1030"/>
      <c r="D3" s="644" t="s">
        <v>274</v>
      </c>
      <c r="E3" s="644" t="s">
        <v>1074</v>
      </c>
      <c r="F3" s="644" t="s">
        <v>1546</v>
      </c>
      <c r="G3" s="644" t="s">
        <v>274</v>
      </c>
      <c r="H3" s="644" t="s">
        <v>1074</v>
      </c>
      <c r="I3" s="644" t="s">
        <v>1546</v>
      </c>
      <c r="J3" s="644" t="s">
        <v>274</v>
      </c>
      <c r="K3" s="644" t="s">
        <v>1074</v>
      </c>
      <c r="L3" s="644" t="s">
        <v>1546</v>
      </c>
      <c r="M3" s="644" t="s">
        <v>274</v>
      </c>
      <c r="N3" s="644" t="s">
        <v>1074</v>
      </c>
      <c r="O3" s="644" t="s">
        <v>1546</v>
      </c>
      <c r="P3" s="644" t="s">
        <v>274</v>
      </c>
      <c r="Q3" s="644" t="s">
        <v>1074</v>
      </c>
      <c r="R3" s="644" t="s">
        <v>1546</v>
      </c>
      <c r="S3" s="644" t="s">
        <v>274</v>
      </c>
      <c r="T3" s="644" t="s">
        <v>1074</v>
      </c>
      <c r="U3" s="644" t="s">
        <v>1546</v>
      </c>
      <c r="V3" s="644" t="s">
        <v>274</v>
      </c>
      <c r="W3" s="644" t="s">
        <v>1074</v>
      </c>
      <c r="X3" s="644" t="s">
        <v>1546</v>
      </c>
      <c r="Y3" s="644" t="s">
        <v>274</v>
      </c>
      <c r="Z3" s="644" t="s">
        <v>1074</v>
      </c>
      <c r="AA3" s="644" t="s">
        <v>1546</v>
      </c>
    </row>
    <row r="4" spans="1:28" ht="88.5" customHeight="1" x14ac:dyDescent="0.2">
      <c r="A4" s="1034" t="s">
        <v>189</v>
      </c>
      <c r="B4" s="1035" t="s">
        <v>247</v>
      </c>
      <c r="C4" s="1035"/>
      <c r="D4" s="1039" t="s">
        <v>1740</v>
      </c>
      <c r="E4" s="1040"/>
      <c r="F4" s="1041"/>
      <c r="G4" s="1039" t="s">
        <v>1987</v>
      </c>
      <c r="H4" s="1040" t="s">
        <v>416</v>
      </c>
      <c r="I4" s="1041"/>
      <c r="J4" s="1039" t="s">
        <v>1988</v>
      </c>
      <c r="K4" s="1040" t="s">
        <v>408</v>
      </c>
      <c r="L4" s="1041"/>
      <c r="M4" s="1039" t="s">
        <v>1989</v>
      </c>
      <c r="N4" s="1040" t="s">
        <v>339</v>
      </c>
      <c r="O4" s="1041"/>
      <c r="P4" s="1039" t="s">
        <v>1990</v>
      </c>
      <c r="Q4" s="1040" t="s">
        <v>489</v>
      </c>
      <c r="R4" s="1041"/>
      <c r="S4" s="1039" t="s">
        <v>1628</v>
      </c>
      <c r="T4" s="1040" t="s">
        <v>476</v>
      </c>
      <c r="U4" s="1041"/>
      <c r="V4" s="1039" t="s">
        <v>1987</v>
      </c>
      <c r="W4" s="1040" t="s">
        <v>416</v>
      </c>
      <c r="X4" s="1041"/>
      <c r="Y4" s="1051" t="s">
        <v>135</v>
      </c>
      <c r="Z4" s="1052"/>
      <c r="AA4" s="1053"/>
    </row>
    <row r="5" spans="1:28" ht="25.5" customHeight="1" x14ac:dyDescent="0.2">
      <c r="A5" s="1034"/>
      <c r="B5" s="1035" t="s">
        <v>11</v>
      </c>
      <c r="C5" s="1035"/>
      <c r="D5" s="1039" t="s">
        <v>225</v>
      </c>
      <c r="E5" s="1040"/>
      <c r="F5" s="1041"/>
      <c r="G5" s="1039" t="s">
        <v>225</v>
      </c>
      <c r="H5" s="1040" t="s">
        <v>225</v>
      </c>
      <c r="I5" s="1041"/>
      <c r="J5" s="1039" t="s">
        <v>225</v>
      </c>
      <c r="K5" s="1040" t="s">
        <v>225</v>
      </c>
      <c r="L5" s="1041"/>
      <c r="M5" s="1039" t="s">
        <v>225</v>
      </c>
      <c r="N5" s="1040" t="s">
        <v>225</v>
      </c>
      <c r="O5" s="1041"/>
      <c r="P5" s="1039" t="s">
        <v>225</v>
      </c>
      <c r="Q5" s="1040" t="s">
        <v>225</v>
      </c>
      <c r="R5" s="1041"/>
      <c r="S5" s="1039" t="s">
        <v>225</v>
      </c>
      <c r="T5" s="1040" t="s">
        <v>225</v>
      </c>
      <c r="U5" s="1041"/>
      <c r="V5" s="1039" t="s">
        <v>225</v>
      </c>
      <c r="W5" s="1040" t="s">
        <v>225</v>
      </c>
      <c r="X5" s="1041"/>
      <c r="Y5" s="1060"/>
      <c r="Z5" s="1061"/>
      <c r="AA5" s="1062"/>
    </row>
    <row r="6" spans="1:28" ht="15.75" customHeight="1" x14ac:dyDescent="0.2">
      <c r="A6" s="1034"/>
      <c r="B6" s="992" t="s">
        <v>646</v>
      </c>
      <c r="C6" s="992"/>
      <c r="D6" s="1042" t="s">
        <v>1991</v>
      </c>
      <c r="E6" s="1043"/>
      <c r="F6" s="1044"/>
      <c r="G6" s="1042" t="s">
        <v>1992</v>
      </c>
      <c r="H6" s="1043" t="s">
        <v>1157</v>
      </c>
      <c r="I6" s="1044"/>
      <c r="J6" s="1042" t="s">
        <v>1993</v>
      </c>
      <c r="K6" s="1043" t="s">
        <v>1158</v>
      </c>
      <c r="L6" s="1044"/>
      <c r="M6" s="1042" t="s">
        <v>1994</v>
      </c>
      <c r="N6" s="1043" t="s">
        <v>1159</v>
      </c>
      <c r="O6" s="1044"/>
      <c r="P6" s="1042" t="s">
        <v>1995</v>
      </c>
      <c r="Q6" s="1043" t="s">
        <v>684</v>
      </c>
      <c r="R6" s="1044"/>
      <c r="S6" s="1042" t="s">
        <v>1996</v>
      </c>
      <c r="T6" s="1043" t="s">
        <v>1160</v>
      </c>
      <c r="U6" s="1044"/>
      <c r="V6" s="1042" t="s">
        <v>1997</v>
      </c>
      <c r="W6" s="1043" t="s">
        <v>475</v>
      </c>
      <c r="X6" s="1044"/>
      <c r="Y6" s="1060"/>
      <c r="Z6" s="1061"/>
      <c r="AA6" s="1062"/>
    </row>
    <row r="7" spans="1:28" ht="73.5" customHeight="1" x14ac:dyDescent="0.2">
      <c r="A7" s="1034"/>
      <c r="B7" s="684" t="s">
        <v>190</v>
      </c>
      <c r="C7" s="126" t="s">
        <v>248</v>
      </c>
      <c r="D7" s="1048"/>
      <c r="E7" s="1049"/>
      <c r="F7" s="1050"/>
      <c r="G7" s="1048"/>
      <c r="H7" s="1049"/>
      <c r="I7" s="1050"/>
      <c r="J7" s="1048"/>
      <c r="K7" s="1049"/>
      <c r="L7" s="1050"/>
      <c r="M7" s="1048"/>
      <c r="N7" s="1049"/>
      <c r="O7" s="1050"/>
      <c r="P7" s="1048"/>
      <c r="Q7" s="1049"/>
      <c r="R7" s="1050"/>
      <c r="S7" s="1048"/>
      <c r="T7" s="1049"/>
      <c r="U7" s="1050"/>
      <c r="V7" s="1048"/>
      <c r="W7" s="1049"/>
      <c r="X7" s="1050"/>
      <c r="Y7" s="1060"/>
      <c r="Z7" s="1061"/>
      <c r="AA7" s="1062"/>
    </row>
    <row r="8" spans="1:28" ht="15.75" x14ac:dyDescent="0.2">
      <c r="A8" s="23" t="s">
        <v>191</v>
      </c>
      <c r="B8" s="24" t="s">
        <v>192</v>
      </c>
      <c r="C8" s="24" t="s">
        <v>193</v>
      </c>
      <c r="D8" s="301" t="s">
        <v>194</v>
      </c>
      <c r="E8" s="24" t="s">
        <v>195</v>
      </c>
      <c r="F8" s="301" t="s">
        <v>196</v>
      </c>
      <c r="G8" s="24" t="s">
        <v>197</v>
      </c>
      <c r="H8" s="301" t="s">
        <v>198</v>
      </c>
      <c r="I8" s="24" t="s">
        <v>199</v>
      </c>
      <c r="J8" s="301" t="s">
        <v>200</v>
      </c>
      <c r="K8" s="24" t="s">
        <v>201</v>
      </c>
      <c r="L8" s="301" t="s">
        <v>228</v>
      </c>
      <c r="M8" s="24" t="s">
        <v>229</v>
      </c>
      <c r="N8" s="301" t="s">
        <v>230</v>
      </c>
      <c r="O8" s="24" t="s">
        <v>231</v>
      </c>
      <c r="P8" s="301" t="s">
        <v>232</v>
      </c>
      <c r="Q8" s="24" t="s">
        <v>233</v>
      </c>
      <c r="R8" s="301" t="s">
        <v>234</v>
      </c>
      <c r="S8" s="24" t="s">
        <v>235</v>
      </c>
      <c r="T8" s="301" t="s">
        <v>236</v>
      </c>
      <c r="U8" s="24" t="s">
        <v>261</v>
      </c>
      <c r="V8" s="301" t="s">
        <v>262</v>
      </c>
      <c r="W8" s="24" t="s">
        <v>263</v>
      </c>
      <c r="X8" s="301" t="s">
        <v>264</v>
      </c>
      <c r="Y8" s="24" t="s">
        <v>265</v>
      </c>
      <c r="Z8" s="301" t="s">
        <v>266</v>
      </c>
      <c r="AA8" s="24" t="s">
        <v>267</v>
      </c>
    </row>
    <row r="9" spans="1:28" ht="21.75" customHeight="1" x14ac:dyDescent="0.25">
      <c r="A9" s="25" t="s">
        <v>191</v>
      </c>
      <c r="B9" s="22" t="s">
        <v>330</v>
      </c>
      <c r="C9" s="26" t="s">
        <v>202</v>
      </c>
      <c r="D9" s="167"/>
      <c r="E9" s="167"/>
      <c r="F9" s="167"/>
      <c r="G9" s="167">
        <v>68485405</v>
      </c>
      <c r="H9" s="167">
        <f>68485405+375000+900000</f>
        <v>69760405</v>
      </c>
      <c r="I9" s="167">
        <v>54906672</v>
      </c>
      <c r="J9" s="167"/>
      <c r="K9" s="167"/>
      <c r="L9" s="167"/>
      <c r="M9" s="167"/>
      <c r="N9" s="167"/>
      <c r="O9" s="167"/>
      <c r="P9" s="167"/>
      <c r="Q9" s="167"/>
      <c r="R9" s="167"/>
      <c r="S9" s="167"/>
      <c r="T9" s="167">
        <f>2200000+454867</f>
        <v>2654867</v>
      </c>
      <c r="U9" s="167">
        <v>2590000</v>
      </c>
      <c r="V9" s="167"/>
      <c r="W9" s="167"/>
      <c r="X9" s="167"/>
      <c r="Y9" s="167">
        <f t="shared" ref="Y9:Y51" si="0">D9+G9+J9+M9+P9+V9+S9</f>
        <v>68485405</v>
      </c>
      <c r="Z9" s="167">
        <f t="shared" ref="Z9:AA51" si="1">E9+H9+K9+N9+Q9+W9+T9</f>
        <v>72415272</v>
      </c>
      <c r="AA9" s="167">
        <f t="shared" si="1"/>
        <v>57496672</v>
      </c>
      <c r="AB9" s="861"/>
    </row>
    <row r="10" spans="1:28" ht="21.75" customHeight="1" x14ac:dyDescent="0.25">
      <c r="A10" s="25" t="s">
        <v>192</v>
      </c>
      <c r="B10" s="27" t="s">
        <v>203</v>
      </c>
      <c r="C10" s="26" t="s">
        <v>204</v>
      </c>
      <c r="D10" s="167"/>
      <c r="E10" s="167"/>
      <c r="F10" s="167"/>
      <c r="G10" s="167">
        <v>9355603</v>
      </c>
      <c r="H10" s="167">
        <f>9355603+48750+117000</f>
        <v>9521353</v>
      </c>
      <c r="I10" s="167">
        <v>6959797</v>
      </c>
      <c r="J10" s="167"/>
      <c r="K10" s="167"/>
      <c r="L10" s="167"/>
      <c r="M10" s="167"/>
      <c r="N10" s="167"/>
      <c r="O10" s="167"/>
      <c r="P10" s="167"/>
      <c r="Q10" s="167"/>
      <c r="R10" s="167"/>
      <c r="S10" s="167"/>
      <c r="T10" s="167">
        <v>345133</v>
      </c>
      <c r="U10" s="167">
        <v>303030</v>
      </c>
      <c r="V10" s="167"/>
      <c r="W10" s="167"/>
      <c r="X10" s="167"/>
      <c r="Y10" s="167">
        <f t="shared" si="0"/>
        <v>9355603</v>
      </c>
      <c r="Z10" s="167">
        <f t="shared" si="1"/>
        <v>9866486</v>
      </c>
      <c r="AA10" s="167">
        <f t="shared" si="1"/>
        <v>7262827</v>
      </c>
      <c r="AB10" s="861"/>
    </row>
    <row r="11" spans="1:28" ht="21.75" customHeight="1" x14ac:dyDescent="0.25">
      <c r="A11" s="25" t="s">
        <v>193</v>
      </c>
      <c r="B11" s="27" t="s">
        <v>331</v>
      </c>
      <c r="C11" s="26" t="s">
        <v>205</v>
      </c>
      <c r="D11" s="167"/>
      <c r="E11" s="167"/>
      <c r="F11" s="167"/>
      <c r="G11" s="167">
        <f>+(11603166)+276860+71466</f>
        <v>11951492</v>
      </c>
      <c r="H11" s="167">
        <v>13058530</v>
      </c>
      <c r="I11" s="167">
        <v>9546706</v>
      </c>
      <c r="J11" s="167">
        <v>2500000</v>
      </c>
      <c r="K11" s="167">
        <v>2500000</v>
      </c>
      <c r="L11" s="167">
        <v>2500000</v>
      </c>
      <c r="M11" s="167">
        <v>736600</v>
      </c>
      <c r="N11" s="167">
        <v>736600</v>
      </c>
      <c r="O11" s="167"/>
      <c r="P11" s="167">
        <v>1500000</v>
      </c>
      <c r="Q11" s="167">
        <v>1500000</v>
      </c>
      <c r="R11" s="167">
        <v>847192</v>
      </c>
      <c r="S11" s="167">
        <v>608000</v>
      </c>
      <c r="T11" s="167">
        <v>2893472</v>
      </c>
      <c r="U11" s="167">
        <v>903041</v>
      </c>
      <c r="V11" s="167">
        <f>+(1524000)+20574</f>
        <v>1544574</v>
      </c>
      <c r="W11" s="167">
        <v>1489630</v>
      </c>
      <c r="X11" s="167">
        <v>961182</v>
      </c>
      <c r="Y11" s="167">
        <f t="shared" si="0"/>
        <v>18840666</v>
      </c>
      <c r="Z11" s="167">
        <f t="shared" si="1"/>
        <v>22178232</v>
      </c>
      <c r="AA11" s="167">
        <f t="shared" si="1"/>
        <v>14758121</v>
      </c>
      <c r="AB11" s="861"/>
    </row>
    <row r="12" spans="1:28" ht="21.75" customHeight="1" x14ac:dyDescent="0.25">
      <c r="A12" s="25" t="s">
        <v>194</v>
      </c>
      <c r="B12" s="28" t="s">
        <v>332</v>
      </c>
      <c r="C12" s="26" t="s">
        <v>206</v>
      </c>
      <c r="D12" s="167"/>
      <c r="E12" s="167"/>
      <c r="F12" s="167"/>
      <c r="G12" s="167"/>
      <c r="H12" s="167"/>
      <c r="I12" s="167"/>
      <c r="J12" s="167"/>
      <c r="K12" s="167"/>
      <c r="L12" s="167"/>
      <c r="M12" s="167"/>
      <c r="N12" s="167"/>
      <c r="O12" s="167"/>
      <c r="P12" s="167"/>
      <c r="Q12" s="167"/>
      <c r="R12" s="167"/>
      <c r="S12" s="167"/>
      <c r="T12" s="167"/>
      <c r="U12" s="167"/>
      <c r="V12" s="167"/>
      <c r="W12" s="167"/>
      <c r="X12" s="167"/>
      <c r="Y12" s="167">
        <f t="shared" si="0"/>
        <v>0</v>
      </c>
      <c r="Z12" s="167">
        <f t="shared" si="1"/>
        <v>0</v>
      </c>
      <c r="AA12" s="167">
        <f t="shared" si="1"/>
        <v>0</v>
      </c>
    </row>
    <row r="13" spans="1:28" ht="21.75" customHeight="1" x14ac:dyDescent="0.25">
      <c r="A13" s="25" t="s">
        <v>195</v>
      </c>
      <c r="B13" s="28" t="s">
        <v>237</v>
      </c>
      <c r="C13" s="26" t="s">
        <v>207</v>
      </c>
      <c r="D13" s="167">
        <f>SUM(D14:D16)</f>
        <v>0</v>
      </c>
      <c r="E13" s="167">
        <f t="shared" ref="E13:AA13" si="2">SUM(E14:E16)</f>
        <v>3068287</v>
      </c>
      <c r="F13" s="167">
        <f t="shared" si="2"/>
        <v>3068287</v>
      </c>
      <c r="G13" s="167">
        <f t="shared" si="2"/>
        <v>0</v>
      </c>
      <c r="H13" s="167">
        <f t="shared" si="2"/>
        <v>0</v>
      </c>
      <c r="I13" s="167">
        <f t="shared" si="2"/>
        <v>0</v>
      </c>
      <c r="J13" s="167">
        <f t="shared" si="2"/>
        <v>0</v>
      </c>
      <c r="K13" s="167">
        <f t="shared" si="2"/>
        <v>0</v>
      </c>
      <c r="L13" s="167">
        <f t="shared" si="2"/>
        <v>0</v>
      </c>
      <c r="M13" s="167">
        <f t="shared" si="2"/>
        <v>0</v>
      </c>
      <c r="N13" s="167">
        <f t="shared" si="2"/>
        <v>0</v>
      </c>
      <c r="O13" s="167">
        <f t="shared" si="2"/>
        <v>0</v>
      </c>
      <c r="P13" s="167">
        <f t="shared" si="2"/>
        <v>0</v>
      </c>
      <c r="Q13" s="167">
        <f t="shared" si="2"/>
        <v>0</v>
      </c>
      <c r="R13" s="167">
        <f t="shared" si="2"/>
        <v>0</v>
      </c>
      <c r="S13" s="167">
        <f t="shared" si="2"/>
        <v>0</v>
      </c>
      <c r="T13" s="167">
        <f t="shared" si="2"/>
        <v>0</v>
      </c>
      <c r="U13" s="167">
        <f t="shared" si="2"/>
        <v>0</v>
      </c>
      <c r="V13" s="167">
        <f t="shared" si="2"/>
        <v>0</v>
      </c>
      <c r="W13" s="167">
        <f t="shared" si="2"/>
        <v>0</v>
      </c>
      <c r="X13" s="167">
        <f t="shared" si="2"/>
        <v>0</v>
      </c>
      <c r="Y13" s="167">
        <f t="shared" si="2"/>
        <v>0</v>
      </c>
      <c r="Z13" s="167">
        <f t="shared" si="2"/>
        <v>3068287</v>
      </c>
      <c r="AA13" s="167">
        <f t="shared" si="2"/>
        <v>3068287</v>
      </c>
    </row>
    <row r="14" spans="1:28" ht="21.75" customHeight="1" x14ac:dyDescent="0.25">
      <c r="A14" s="25" t="s">
        <v>196</v>
      </c>
      <c r="B14" s="29" t="s">
        <v>122</v>
      </c>
      <c r="C14" s="26"/>
      <c r="D14" s="167"/>
      <c r="E14" s="167"/>
      <c r="F14" s="167"/>
      <c r="G14" s="167"/>
      <c r="H14" s="167"/>
      <c r="I14" s="167"/>
      <c r="J14" s="167"/>
      <c r="K14" s="167"/>
      <c r="L14" s="167"/>
      <c r="M14" s="167"/>
      <c r="N14" s="167"/>
      <c r="O14" s="167"/>
      <c r="P14" s="167"/>
      <c r="Q14" s="167"/>
      <c r="R14" s="167"/>
      <c r="S14" s="167"/>
      <c r="T14" s="167"/>
      <c r="U14" s="167"/>
      <c r="V14" s="167"/>
      <c r="W14" s="167"/>
      <c r="X14" s="167"/>
      <c r="Y14" s="167">
        <f t="shared" si="0"/>
        <v>0</v>
      </c>
      <c r="Z14" s="167">
        <f t="shared" si="1"/>
        <v>0</v>
      </c>
      <c r="AA14" s="167">
        <f t="shared" si="1"/>
        <v>0</v>
      </c>
    </row>
    <row r="15" spans="1:28" ht="21.75" customHeight="1" x14ac:dyDescent="0.25">
      <c r="A15" s="25" t="s">
        <v>197</v>
      </c>
      <c r="B15" s="29" t="s">
        <v>112</v>
      </c>
      <c r="C15" s="30"/>
      <c r="D15" s="167"/>
      <c r="E15" s="167"/>
      <c r="F15" s="167"/>
      <c r="G15" s="167"/>
      <c r="H15" s="167"/>
      <c r="I15" s="167"/>
      <c r="J15" s="167"/>
      <c r="K15" s="167"/>
      <c r="L15" s="167"/>
      <c r="M15" s="167"/>
      <c r="N15" s="167"/>
      <c r="O15" s="167"/>
      <c r="P15" s="167"/>
      <c r="Q15" s="167"/>
      <c r="R15" s="167"/>
      <c r="S15" s="167"/>
      <c r="T15" s="167"/>
      <c r="U15" s="167"/>
      <c r="V15" s="167"/>
      <c r="W15" s="167"/>
      <c r="X15" s="167"/>
      <c r="Y15" s="167">
        <f t="shared" si="0"/>
        <v>0</v>
      </c>
      <c r="Z15" s="167">
        <f t="shared" si="1"/>
        <v>0</v>
      </c>
      <c r="AA15" s="167">
        <f t="shared" si="1"/>
        <v>0</v>
      </c>
    </row>
    <row r="16" spans="1:28" ht="21.75" customHeight="1" x14ac:dyDescent="0.25">
      <c r="A16" s="25" t="s">
        <v>198</v>
      </c>
      <c r="B16" s="88" t="s">
        <v>517</v>
      </c>
      <c r="C16" s="30"/>
      <c r="D16" s="167"/>
      <c r="E16" s="167">
        <v>3068287</v>
      </c>
      <c r="F16" s="167">
        <v>3068287</v>
      </c>
      <c r="G16" s="167"/>
      <c r="H16" s="167"/>
      <c r="I16" s="167"/>
      <c r="J16" s="167"/>
      <c r="K16" s="167"/>
      <c r="L16" s="167"/>
      <c r="M16" s="167"/>
      <c r="N16" s="167"/>
      <c r="O16" s="167"/>
      <c r="P16" s="167"/>
      <c r="Q16" s="167"/>
      <c r="R16" s="167"/>
      <c r="S16" s="167"/>
      <c r="T16" s="167"/>
      <c r="U16" s="167"/>
      <c r="V16" s="167"/>
      <c r="W16" s="167"/>
      <c r="X16" s="167"/>
      <c r="Y16" s="167">
        <f t="shared" si="0"/>
        <v>0</v>
      </c>
      <c r="Z16" s="167">
        <f t="shared" si="1"/>
        <v>3068287</v>
      </c>
      <c r="AA16" s="167">
        <f t="shared" si="1"/>
        <v>3068287</v>
      </c>
    </row>
    <row r="17" spans="1:27" ht="21.75" customHeight="1" x14ac:dyDescent="0.25">
      <c r="A17" s="25" t="s">
        <v>199</v>
      </c>
      <c r="B17" s="31" t="s">
        <v>244</v>
      </c>
      <c r="C17" s="26" t="s">
        <v>208</v>
      </c>
      <c r="D17" s="167"/>
      <c r="E17" s="167"/>
      <c r="F17" s="167"/>
      <c r="G17" s="167">
        <v>1524000</v>
      </c>
      <c r="H17" s="167">
        <v>1524000</v>
      </c>
      <c r="I17" s="167">
        <v>1099321</v>
      </c>
      <c r="J17" s="167"/>
      <c r="K17" s="167"/>
      <c r="L17" s="167"/>
      <c r="M17" s="167">
        <v>127000</v>
      </c>
      <c r="N17" s="167">
        <v>127000</v>
      </c>
      <c r="O17" s="167"/>
      <c r="P17" s="167"/>
      <c r="Q17" s="167"/>
      <c r="R17" s="167"/>
      <c r="S17" s="167">
        <v>200000</v>
      </c>
      <c r="T17" s="167">
        <v>200000</v>
      </c>
      <c r="U17" s="167">
        <v>19980</v>
      </c>
      <c r="V17" s="167"/>
      <c r="W17" s="167"/>
      <c r="X17" s="167"/>
      <c r="Y17" s="167">
        <f t="shared" si="0"/>
        <v>1851000</v>
      </c>
      <c r="Z17" s="167">
        <f t="shared" si="1"/>
        <v>1851000</v>
      </c>
      <c r="AA17" s="167">
        <f t="shared" si="1"/>
        <v>1119301</v>
      </c>
    </row>
    <row r="18" spans="1:27" ht="21.75" customHeight="1" x14ac:dyDescent="0.25">
      <c r="A18" s="25" t="s">
        <v>200</v>
      </c>
      <c r="B18" s="28" t="s">
        <v>333</v>
      </c>
      <c r="C18" s="26" t="s">
        <v>209</v>
      </c>
      <c r="D18" s="167"/>
      <c r="E18" s="167"/>
      <c r="F18" s="167"/>
      <c r="G18" s="167"/>
      <c r="H18" s="167"/>
      <c r="I18" s="167"/>
      <c r="J18" s="167"/>
      <c r="K18" s="167"/>
      <c r="L18" s="167"/>
      <c r="M18" s="167"/>
      <c r="N18" s="167"/>
      <c r="O18" s="167"/>
      <c r="P18" s="167"/>
      <c r="Q18" s="167"/>
      <c r="R18" s="167"/>
      <c r="S18" s="167"/>
      <c r="T18" s="167"/>
      <c r="U18" s="167"/>
      <c r="V18" s="167"/>
      <c r="W18" s="167"/>
      <c r="X18" s="167"/>
      <c r="Y18" s="167">
        <f t="shared" si="0"/>
        <v>0</v>
      </c>
      <c r="Z18" s="167">
        <f t="shared" si="1"/>
        <v>0</v>
      </c>
      <c r="AA18" s="167">
        <f t="shared" si="1"/>
        <v>0</v>
      </c>
    </row>
    <row r="19" spans="1:27" ht="21.75" customHeight="1" x14ac:dyDescent="0.25">
      <c r="A19" s="25" t="s">
        <v>201</v>
      </c>
      <c r="B19" s="28" t="s">
        <v>238</v>
      </c>
      <c r="C19" s="26" t="s">
        <v>210</v>
      </c>
      <c r="D19" s="167"/>
      <c r="E19" s="167"/>
      <c r="F19" s="167"/>
      <c r="G19" s="167"/>
      <c r="H19" s="167"/>
      <c r="I19" s="167"/>
      <c r="J19" s="167"/>
      <c r="K19" s="167"/>
      <c r="L19" s="167"/>
      <c r="M19" s="167"/>
      <c r="N19" s="167"/>
      <c r="O19" s="167"/>
      <c r="P19" s="167"/>
      <c r="Q19" s="167"/>
      <c r="R19" s="167"/>
      <c r="S19" s="167"/>
      <c r="T19" s="167"/>
      <c r="U19" s="167"/>
      <c r="V19" s="167"/>
      <c r="W19" s="167"/>
      <c r="X19" s="167"/>
      <c r="Y19" s="167">
        <f t="shared" si="0"/>
        <v>0</v>
      </c>
      <c r="Z19" s="167">
        <f t="shared" si="1"/>
        <v>0</v>
      </c>
      <c r="AA19" s="167">
        <f t="shared" si="1"/>
        <v>0</v>
      </c>
    </row>
    <row r="20" spans="1:27" ht="21.75" customHeight="1" x14ac:dyDescent="0.25">
      <c r="A20" s="25" t="s">
        <v>228</v>
      </c>
      <c r="B20" s="28" t="s">
        <v>121</v>
      </c>
      <c r="C20" s="26"/>
      <c r="D20" s="167"/>
      <c r="E20" s="167"/>
      <c r="F20" s="167"/>
      <c r="G20" s="167"/>
      <c r="H20" s="167"/>
      <c r="I20" s="167"/>
      <c r="J20" s="167"/>
      <c r="K20" s="167"/>
      <c r="L20" s="167"/>
      <c r="M20" s="167"/>
      <c r="N20" s="167"/>
      <c r="O20" s="167"/>
      <c r="P20" s="167"/>
      <c r="Q20" s="167"/>
      <c r="R20" s="167"/>
      <c r="S20" s="167"/>
      <c r="T20" s="167"/>
      <c r="U20" s="167"/>
      <c r="V20" s="167"/>
      <c r="W20" s="167"/>
      <c r="X20" s="167"/>
      <c r="Y20" s="167">
        <f t="shared" si="0"/>
        <v>0</v>
      </c>
      <c r="Z20" s="167">
        <f t="shared" si="1"/>
        <v>0</v>
      </c>
      <c r="AA20" s="167">
        <f t="shared" si="1"/>
        <v>0</v>
      </c>
    </row>
    <row r="21" spans="1:27" ht="21.75" customHeight="1" x14ac:dyDescent="0.25">
      <c r="A21" s="25" t="s">
        <v>229</v>
      </c>
      <c r="B21" s="31" t="s">
        <v>239</v>
      </c>
      <c r="C21" s="26" t="s">
        <v>211</v>
      </c>
      <c r="D21" s="167">
        <f>+D9+D10+D11+D12+D13+D17+D18+D19</f>
        <v>0</v>
      </c>
      <c r="E21" s="167">
        <f t="shared" ref="E21:AA21" si="3">+E9+E10+E11+E12+E13+E17+E18+E19</f>
        <v>3068287</v>
      </c>
      <c r="F21" s="167">
        <f t="shared" si="3"/>
        <v>3068287</v>
      </c>
      <c r="G21" s="167">
        <f t="shared" si="3"/>
        <v>91316500</v>
      </c>
      <c r="H21" s="167">
        <f t="shared" si="3"/>
        <v>93864288</v>
      </c>
      <c r="I21" s="167">
        <f t="shared" si="3"/>
        <v>72512496</v>
      </c>
      <c r="J21" s="167">
        <f t="shared" si="3"/>
        <v>2500000</v>
      </c>
      <c r="K21" s="167">
        <f t="shared" si="3"/>
        <v>2500000</v>
      </c>
      <c r="L21" s="167">
        <f t="shared" si="3"/>
        <v>2500000</v>
      </c>
      <c r="M21" s="167">
        <f t="shared" si="3"/>
        <v>863600</v>
      </c>
      <c r="N21" s="167">
        <f t="shared" si="3"/>
        <v>863600</v>
      </c>
      <c r="O21" s="167">
        <f t="shared" si="3"/>
        <v>0</v>
      </c>
      <c r="P21" s="167">
        <f t="shared" si="3"/>
        <v>1500000</v>
      </c>
      <c r="Q21" s="167">
        <f t="shared" si="3"/>
        <v>1500000</v>
      </c>
      <c r="R21" s="167">
        <f t="shared" si="3"/>
        <v>847192</v>
      </c>
      <c r="S21" s="167">
        <f t="shared" si="3"/>
        <v>808000</v>
      </c>
      <c r="T21" s="167">
        <f t="shared" si="3"/>
        <v>6093472</v>
      </c>
      <c r="U21" s="167">
        <f t="shared" si="3"/>
        <v>3816051</v>
      </c>
      <c r="V21" s="167">
        <f t="shared" si="3"/>
        <v>1544574</v>
      </c>
      <c r="W21" s="167">
        <f t="shared" si="3"/>
        <v>1489630</v>
      </c>
      <c r="X21" s="167">
        <f t="shared" si="3"/>
        <v>961182</v>
      </c>
      <c r="Y21" s="168">
        <f t="shared" si="3"/>
        <v>98532674</v>
      </c>
      <c r="Z21" s="168">
        <f t="shared" si="3"/>
        <v>109379277</v>
      </c>
      <c r="AA21" s="168">
        <f t="shared" si="3"/>
        <v>83705208</v>
      </c>
    </row>
    <row r="22" spans="1:27" ht="21.75" customHeight="1" x14ac:dyDescent="0.25">
      <c r="A22" s="25" t="s">
        <v>230</v>
      </c>
      <c r="B22" s="31" t="s">
        <v>224</v>
      </c>
      <c r="C22" s="26" t="s">
        <v>220</v>
      </c>
      <c r="D22" s="167">
        <f>SUM(D23:D26)</f>
        <v>0</v>
      </c>
      <c r="E22" s="167">
        <f t="shared" ref="E22:AA22" si="4">SUM(E23:E26)</f>
        <v>0</v>
      </c>
      <c r="F22" s="167">
        <f t="shared" si="4"/>
        <v>0</v>
      </c>
      <c r="G22" s="167">
        <f t="shared" si="4"/>
        <v>0</v>
      </c>
      <c r="H22" s="167">
        <f t="shared" si="4"/>
        <v>0</v>
      </c>
      <c r="I22" s="167">
        <f t="shared" si="4"/>
        <v>0</v>
      </c>
      <c r="J22" s="167">
        <f t="shared" si="4"/>
        <v>0</v>
      </c>
      <c r="K22" s="167">
        <f t="shared" si="4"/>
        <v>0</v>
      </c>
      <c r="L22" s="167">
        <f t="shared" si="4"/>
        <v>0</v>
      </c>
      <c r="M22" s="167">
        <f t="shared" si="4"/>
        <v>0</v>
      </c>
      <c r="N22" s="167">
        <f t="shared" si="4"/>
        <v>0</v>
      </c>
      <c r="O22" s="167">
        <f t="shared" si="4"/>
        <v>0</v>
      </c>
      <c r="P22" s="167">
        <f t="shared" si="4"/>
        <v>0</v>
      </c>
      <c r="Q22" s="167">
        <f t="shared" si="4"/>
        <v>0</v>
      </c>
      <c r="R22" s="167">
        <f t="shared" si="4"/>
        <v>0</v>
      </c>
      <c r="S22" s="167">
        <f t="shared" si="4"/>
        <v>0</v>
      </c>
      <c r="T22" s="167">
        <f t="shared" si="4"/>
        <v>0</v>
      </c>
      <c r="U22" s="167">
        <f t="shared" si="4"/>
        <v>0</v>
      </c>
      <c r="V22" s="167">
        <f t="shared" si="4"/>
        <v>0</v>
      </c>
      <c r="W22" s="167">
        <f t="shared" si="4"/>
        <v>0</v>
      </c>
      <c r="X22" s="167">
        <f t="shared" si="4"/>
        <v>0</v>
      </c>
      <c r="Y22" s="167">
        <f t="shared" si="4"/>
        <v>0</v>
      </c>
      <c r="Z22" s="167">
        <f t="shared" si="4"/>
        <v>0</v>
      </c>
      <c r="AA22" s="167">
        <f t="shared" si="4"/>
        <v>0</v>
      </c>
    </row>
    <row r="23" spans="1:27" ht="21.75" customHeight="1" x14ac:dyDescent="0.25">
      <c r="A23" s="25" t="s">
        <v>231</v>
      </c>
      <c r="B23" s="90" t="s">
        <v>179</v>
      </c>
      <c r="C23" s="30"/>
      <c r="D23" s="167"/>
      <c r="E23" s="167"/>
      <c r="F23" s="167"/>
      <c r="G23" s="167"/>
      <c r="H23" s="167"/>
      <c r="I23" s="167"/>
      <c r="J23" s="167"/>
      <c r="K23" s="167"/>
      <c r="L23" s="167"/>
      <c r="M23" s="167"/>
      <c r="N23" s="167"/>
      <c r="O23" s="167"/>
      <c r="P23" s="167"/>
      <c r="Q23" s="167"/>
      <c r="R23" s="167"/>
      <c r="S23" s="167"/>
      <c r="T23" s="167"/>
      <c r="U23" s="167"/>
      <c r="V23" s="167"/>
      <c r="W23" s="167"/>
      <c r="X23" s="167"/>
      <c r="Y23" s="167">
        <f t="shared" si="0"/>
        <v>0</v>
      </c>
      <c r="Z23" s="167">
        <f t="shared" si="1"/>
        <v>0</v>
      </c>
      <c r="AA23" s="167">
        <f t="shared" si="1"/>
        <v>0</v>
      </c>
    </row>
    <row r="24" spans="1:27" ht="21.75" customHeight="1" x14ac:dyDescent="0.25">
      <c r="A24" s="25" t="s">
        <v>232</v>
      </c>
      <c r="B24" s="32" t="s">
        <v>520</v>
      </c>
      <c r="C24" s="30"/>
      <c r="D24" s="167"/>
      <c r="E24" s="167"/>
      <c r="F24" s="167"/>
      <c r="G24" s="167"/>
      <c r="H24" s="167"/>
      <c r="I24" s="167"/>
      <c r="J24" s="167"/>
      <c r="K24" s="167"/>
      <c r="L24" s="167"/>
      <c r="M24" s="167"/>
      <c r="N24" s="167"/>
      <c r="O24" s="167"/>
      <c r="P24" s="167"/>
      <c r="Q24" s="167"/>
      <c r="R24" s="167"/>
      <c r="S24" s="167"/>
      <c r="T24" s="167"/>
      <c r="U24" s="167"/>
      <c r="V24" s="167"/>
      <c r="W24" s="167"/>
      <c r="X24" s="167"/>
      <c r="Y24" s="167">
        <f t="shared" si="0"/>
        <v>0</v>
      </c>
      <c r="Z24" s="167">
        <f t="shared" si="1"/>
        <v>0</v>
      </c>
      <c r="AA24" s="167">
        <f t="shared" si="1"/>
        <v>0</v>
      </c>
    </row>
    <row r="25" spans="1:27" ht="21.75" customHeight="1" x14ac:dyDescent="0.25">
      <c r="A25" s="25" t="s">
        <v>233</v>
      </c>
      <c r="B25" s="32" t="s">
        <v>521</v>
      </c>
      <c r="C25" s="30"/>
      <c r="D25" s="167"/>
      <c r="E25" s="167"/>
      <c r="F25" s="167"/>
      <c r="G25" s="167"/>
      <c r="H25" s="167"/>
      <c r="I25" s="167"/>
      <c r="J25" s="167"/>
      <c r="K25" s="167"/>
      <c r="L25" s="167"/>
      <c r="M25" s="167"/>
      <c r="N25" s="167"/>
      <c r="O25" s="167"/>
      <c r="P25" s="167"/>
      <c r="Q25" s="167"/>
      <c r="R25" s="167"/>
      <c r="S25" s="167"/>
      <c r="T25" s="167"/>
      <c r="U25" s="167"/>
      <c r="V25" s="167"/>
      <c r="W25" s="167"/>
      <c r="X25" s="167"/>
      <c r="Y25" s="167">
        <f t="shared" si="0"/>
        <v>0</v>
      </c>
      <c r="Z25" s="167">
        <f t="shared" si="1"/>
        <v>0</v>
      </c>
      <c r="AA25" s="167">
        <f t="shared" si="1"/>
        <v>0</v>
      </c>
    </row>
    <row r="26" spans="1:27" ht="21.75" customHeight="1" x14ac:dyDescent="0.25">
      <c r="A26" s="25" t="s">
        <v>234</v>
      </c>
      <c r="B26" s="32" t="s">
        <v>123</v>
      </c>
      <c r="C26" s="30"/>
      <c r="D26" s="167"/>
      <c r="E26" s="167"/>
      <c r="F26" s="167"/>
      <c r="G26" s="167"/>
      <c r="H26" s="167"/>
      <c r="I26" s="167"/>
      <c r="J26" s="167"/>
      <c r="K26" s="167"/>
      <c r="L26" s="167"/>
      <c r="M26" s="167"/>
      <c r="N26" s="167"/>
      <c r="O26" s="167"/>
      <c r="P26" s="167"/>
      <c r="Q26" s="167"/>
      <c r="R26" s="167"/>
      <c r="S26" s="167"/>
      <c r="T26" s="167"/>
      <c r="U26" s="167"/>
      <c r="V26" s="167"/>
      <c r="W26" s="167"/>
      <c r="X26" s="167"/>
      <c r="Y26" s="167">
        <f t="shared" si="0"/>
        <v>0</v>
      </c>
      <c r="Z26" s="167">
        <f t="shared" si="1"/>
        <v>0</v>
      </c>
      <c r="AA26" s="167">
        <f t="shared" si="1"/>
        <v>0</v>
      </c>
    </row>
    <row r="27" spans="1:27" ht="21.75" customHeight="1" x14ac:dyDescent="0.25">
      <c r="A27" s="25" t="s">
        <v>235</v>
      </c>
      <c r="B27" s="222" t="s">
        <v>742</v>
      </c>
      <c r="C27" s="30"/>
      <c r="D27" s="167"/>
      <c r="E27" s="167"/>
      <c r="F27" s="167"/>
      <c r="G27" s="167"/>
      <c r="H27" s="167"/>
      <c r="I27" s="167"/>
      <c r="J27" s="167"/>
      <c r="K27" s="167"/>
      <c r="L27" s="167"/>
      <c r="M27" s="167"/>
      <c r="N27" s="167"/>
      <c r="O27" s="167"/>
      <c r="P27" s="167"/>
      <c r="Q27" s="167"/>
      <c r="R27" s="167"/>
      <c r="S27" s="167"/>
      <c r="T27" s="167"/>
      <c r="U27" s="167"/>
      <c r="V27" s="167"/>
      <c r="W27" s="167"/>
      <c r="X27" s="167"/>
      <c r="Y27" s="167">
        <f t="shared" si="0"/>
        <v>0</v>
      </c>
      <c r="Z27" s="167">
        <f t="shared" si="1"/>
        <v>0</v>
      </c>
      <c r="AA27" s="167">
        <f t="shared" si="1"/>
        <v>0</v>
      </c>
    </row>
    <row r="28" spans="1:27" s="34" customFormat="1" ht="21.75" customHeight="1" x14ac:dyDescent="0.25">
      <c r="A28" s="25" t="s">
        <v>236</v>
      </c>
      <c r="B28" s="33" t="s">
        <v>32</v>
      </c>
      <c r="C28" s="26"/>
      <c r="D28" s="168">
        <f>+D9+D10+D11+D12+D13+D23+D24</f>
        <v>0</v>
      </c>
      <c r="E28" s="168">
        <f t="shared" ref="E28:AA28" si="5">+E9+E10+E11+E12+E13+E23+E24</f>
        <v>3068287</v>
      </c>
      <c r="F28" s="168">
        <f t="shared" si="5"/>
        <v>3068287</v>
      </c>
      <c r="G28" s="168">
        <f t="shared" si="5"/>
        <v>89792500</v>
      </c>
      <c r="H28" s="168">
        <f t="shared" si="5"/>
        <v>92340288</v>
      </c>
      <c r="I28" s="168">
        <f t="shared" si="5"/>
        <v>71413175</v>
      </c>
      <c r="J28" s="168">
        <f t="shared" si="5"/>
        <v>2500000</v>
      </c>
      <c r="K28" s="168">
        <f t="shared" si="5"/>
        <v>2500000</v>
      </c>
      <c r="L28" s="168">
        <f t="shared" si="5"/>
        <v>2500000</v>
      </c>
      <c r="M28" s="168">
        <f t="shared" si="5"/>
        <v>736600</v>
      </c>
      <c r="N28" s="168">
        <f t="shared" si="5"/>
        <v>736600</v>
      </c>
      <c r="O28" s="168">
        <f t="shared" si="5"/>
        <v>0</v>
      </c>
      <c r="P28" s="168">
        <f t="shared" si="5"/>
        <v>1500000</v>
      </c>
      <c r="Q28" s="168">
        <f t="shared" si="5"/>
        <v>1500000</v>
      </c>
      <c r="R28" s="168">
        <f t="shared" si="5"/>
        <v>847192</v>
      </c>
      <c r="S28" s="168">
        <f t="shared" si="5"/>
        <v>608000</v>
      </c>
      <c r="T28" s="168">
        <f t="shared" si="5"/>
        <v>5893472</v>
      </c>
      <c r="U28" s="168">
        <f t="shared" si="5"/>
        <v>3796071</v>
      </c>
      <c r="V28" s="168">
        <f t="shared" si="5"/>
        <v>1544574</v>
      </c>
      <c r="W28" s="168">
        <f t="shared" si="5"/>
        <v>1489630</v>
      </c>
      <c r="X28" s="168">
        <f t="shared" si="5"/>
        <v>961182</v>
      </c>
      <c r="Y28" s="168">
        <f t="shared" si="5"/>
        <v>96681674</v>
      </c>
      <c r="Z28" s="168">
        <f t="shared" si="5"/>
        <v>107528277</v>
      </c>
      <c r="AA28" s="168">
        <f t="shared" si="5"/>
        <v>82585907</v>
      </c>
    </row>
    <row r="29" spans="1:27" s="34" customFormat="1" ht="21.75" customHeight="1" x14ac:dyDescent="0.25">
      <c r="A29" s="25" t="s">
        <v>261</v>
      </c>
      <c r="B29" s="33" t="s">
        <v>33</v>
      </c>
      <c r="C29" s="26"/>
      <c r="D29" s="168">
        <f>+D17+D18+D19+D25+D26</f>
        <v>0</v>
      </c>
      <c r="E29" s="168">
        <f t="shared" ref="E29:AA29" si="6">+E17+E18+E19+E25+E26</f>
        <v>0</v>
      </c>
      <c r="F29" s="168">
        <f t="shared" si="6"/>
        <v>0</v>
      </c>
      <c r="G29" s="168">
        <f t="shared" si="6"/>
        <v>1524000</v>
      </c>
      <c r="H29" s="168">
        <f t="shared" si="6"/>
        <v>1524000</v>
      </c>
      <c r="I29" s="168">
        <f t="shared" si="6"/>
        <v>1099321</v>
      </c>
      <c r="J29" s="168">
        <f t="shared" si="6"/>
        <v>0</v>
      </c>
      <c r="K29" s="168">
        <f t="shared" si="6"/>
        <v>0</v>
      </c>
      <c r="L29" s="168">
        <f t="shared" si="6"/>
        <v>0</v>
      </c>
      <c r="M29" s="168">
        <f t="shared" si="6"/>
        <v>127000</v>
      </c>
      <c r="N29" s="168">
        <f t="shared" si="6"/>
        <v>127000</v>
      </c>
      <c r="O29" s="168">
        <f t="shared" si="6"/>
        <v>0</v>
      </c>
      <c r="P29" s="168">
        <f t="shared" si="6"/>
        <v>0</v>
      </c>
      <c r="Q29" s="168">
        <f t="shared" si="6"/>
        <v>0</v>
      </c>
      <c r="R29" s="168">
        <f t="shared" si="6"/>
        <v>0</v>
      </c>
      <c r="S29" s="168">
        <f t="shared" si="6"/>
        <v>200000</v>
      </c>
      <c r="T29" s="168">
        <f t="shared" si="6"/>
        <v>200000</v>
      </c>
      <c r="U29" s="168">
        <f t="shared" si="6"/>
        <v>19980</v>
      </c>
      <c r="V29" s="168">
        <f t="shared" si="6"/>
        <v>0</v>
      </c>
      <c r="W29" s="168">
        <f t="shared" si="6"/>
        <v>0</v>
      </c>
      <c r="X29" s="168">
        <f t="shared" si="6"/>
        <v>0</v>
      </c>
      <c r="Y29" s="168">
        <f t="shared" si="6"/>
        <v>1851000</v>
      </c>
      <c r="Z29" s="168">
        <f t="shared" si="6"/>
        <v>1851000</v>
      </c>
      <c r="AA29" s="168">
        <f t="shared" si="6"/>
        <v>1119301</v>
      </c>
    </row>
    <row r="30" spans="1:27" s="34" customFormat="1" ht="21.75" customHeight="1" x14ac:dyDescent="0.25">
      <c r="A30" s="25" t="s">
        <v>262</v>
      </c>
      <c r="B30" s="33" t="s">
        <v>328</v>
      </c>
      <c r="C30" s="26" t="s">
        <v>31</v>
      </c>
      <c r="D30" s="168">
        <f>SUM(D28:D29)</f>
        <v>0</v>
      </c>
      <c r="E30" s="168">
        <f t="shared" ref="E30:AA30" si="7">SUM(E28:E29)</f>
        <v>3068287</v>
      </c>
      <c r="F30" s="168">
        <f t="shared" si="7"/>
        <v>3068287</v>
      </c>
      <c r="G30" s="168">
        <f t="shared" si="7"/>
        <v>91316500</v>
      </c>
      <c r="H30" s="168">
        <f t="shared" si="7"/>
        <v>93864288</v>
      </c>
      <c r="I30" s="168">
        <f t="shared" si="7"/>
        <v>72512496</v>
      </c>
      <c r="J30" s="168">
        <f t="shared" si="7"/>
        <v>2500000</v>
      </c>
      <c r="K30" s="168">
        <f t="shared" si="7"/>
        <v>2500000</v>
      </c>
      <c r="L30" s="168">
        <f t="shared" si="7"/>
        <v>2500000</v>
      </c>
      <c r="M30" s="168">
        <f t="shared" si="7"/>
        <v>863600</v>
      </c>
      <c r="N30" s="168">
        <f t="shared" si="7"/>
        <v>863600</v>
      </c>
      <c r="O30" s="168">
        <f t="shared" si="7"/>
        <v>0</v>
      </c>
      <c r="P30" s="168">
        <f t="shared" si="7"/>
        <v>1500000</v>
      </c>
      <c r="Q30" s="168">
        <f t="shared" si="7"/>
        <v>1500000</v>
      </c>
      <c r="R30" s="168">
        <f t="shared" si="7"/>
        <v>847192</v>
      </c>
      <c r="S30" s="168">
        <f t="shared" si="7"/>
        <v>808000</v>
      </c>
      <c r="T30" s="168">
        <f t="shared" si="7"/>
        <v>6093472</v>
      </c>
      <c r="U30" s="168">
        <f t="shared" si="7"/>
        <v>3816051</v>
      </c>
      <c r="V30" s="168">
        <f t="shared" si="7"/>
        <v>1544574</v>
      </c>
      <c r="W30" s="168">
        <f t="shared" si="7"/>
        <v>1489630</v>
      </c>
      <c r="X30" s="168">
        <f t="shared" si="7"/>
        <v>961182</v>
      </c>
      <c r="Y30" s="168">
        <f t="shared" si="7"/>
        <v>98532674</v>
      </c>
      <c r="Z30" s="168">
        <f t="shared" si="7"/>
        <v>109379277</v>
      </c>
      <c r="AA30" s="168">
        <f t="shared" si="7"/>
        <v>83705208</v>
      </c>
    </row>
    <row r="31" spans="1:27" ht="21.75" customHeight="1" x14ac:dyDescent="0.25">
      <c r="A31" s="25" t="s">
        <v>263</v>
      </c>
      <c r="B31" s="27" t="s">
        <v>52</v>
      </c>
      <c r="C31" s="31" t="s">
        <v>212</v>
      </c>
      <c r="D31" s="167"/>
      <c r="E31" s="167"/>
      <c r="F31" s="167"/>
      <c r="G31" s="167"/>
      <c r="H31" s="167"/>
      <c r="I31" s="167"/>
      <c r="J31" s="167"/>
      <c r="K31" s="167"/>
      <c r="L31" s="167"/>
      <c r="M31" s="167"/>
      <c r="N31" s="167"/>
      <c r="O31" s="167"/>
      <c r="P31" s="167"/>
      <c r="Q31" s="167"/>
      <c r="R31" s="167"/>
      <c r="S31" s="167"/>
      <c r="T31" s="167"/>
      <c r="U31" s="167"/>
      <c r="V31" s="167"/>
      <c r="W31" s="167"/>
      <c r="X31" s="167"/>
      <c r="Y31" s="167">
        <f t="shared" si="0"/>
        <v>0</v>
      </c>
      <c r="Z31" s="167">
        <f t="shared" si="1"/>
        <v>0</v>
      </c>
      <c r="AA31" s="167">
        <f t="shared" si="1"/>
        <v>0</v>
      </c>
    </row>
    <row r="32" spans="1:27" ht="21.75" customHeight="1" x14ac:dyDescent="0.25">
      <c r="A32" s="25" t="s">
        <v>264</v>
      </c>
      <c r="B32" s="27" t="s">
        <v>223</v>
      </c>
      <c r="C32" s="31" t="s">
        <v>213</v>
      </c>
      <c r="D32" s="167"/>
      <c r="E32" s="167"/>
      <c r="F32" s="167"/>
      <c r="G32" s="167"/>
      <c r="H32" s="167"/>
      <c r="I32" s="167"/>
      <c r="J32" s="167"/>
      <c r="K32" s="167"/>
      <c r="L32" s="167"/>
      <c r="M32" s="167"/>
      <c r="N32" s="167"/>
      <c r="O32" s="167"/>
      <c r="P32" s="167"/>
      <c r="Q32" s="167"/>
      <c r="R32" s="167"/>
      <c r="S32" s="167"/>
      <c r="T32" s="167"/>
      <c r="U32" s="167"/>
      <c r="V32" s="167"/>
      <c r="W32" s="167"/>
      <c r="X32" s="167"/>
      <c r="Y32" s="167">
        <f t="shared" si="0"/>
        <v>0</v>
      </c>
      <c r="Z32" s="167">
        <f t="shared" si="1"/>
        <v>0</v>
      </c>
      <c r="AA32" s="167">
        <f t="shared" si="1"/>
        <v>0</v>
      </c>
    </row>
    <row r="33" spans="1:27" ht="21.75" customHeight="1" x14ac:dyDescent="0.25">
      <c r="A33" s="25" t="s">
        <v>265</v>
      </c>
      <c r="B33" s="27" t="s">
        <v>222</v>
      </c>
      <c r="C33" s="31" t="s">
        <v>214</v>
      </c>
      <c r="D33" s="167"/>
      <c r="E33" s="167"/>
      <c r="F33" s="167"/>
      <c r="G33" s="167"/>
      <c r="H33" s="167"/>
      <c r="I33" s="167"/>
      <c r="J33" s="167"/>
      <c r="K33" s="167"/>
      <c r="L33" s="167"/>
      <c r="M33" s="167"/>
      <c r="N33" s="167"/>
      <c r="O33" s="167"/>
      <c r="P33" s="167"/>
      <c r="Q33" s="167"/>
      <c r="R33" s="167"/>
      <c r="S33" s="167"/>
      <c r="T33" s="167"/>
      <c r="U33" s="167"/>
      <c r="V33" s="167"/>
      <c r="W33" s="167"/>
      <c r="X33" s="167"/>
      <c r="Y33" s="167">
        <f t="shared" si="0"/>
        <v>0</v>
      </c>
      <c r="Z33" s="167">
        <f t="shared" si="1"/>
        <v>0</v>
      </c>
      <c r="AA33" s="167">
        <f t="shared" si="1"/>
        <v>0</v>
      </c>
    </row>
    <row r="34" spans="1:27" ht="21.75" customHeight="1" x14ac:dyDescent="0.25">
      <c r="A34" s="25" t="s">
        <v>266</v>
      </c>
      <c r="B34" s="28" t="s">
        <v>0</v>
      </c>
      <c r="C34" s="31" t="s">
        <v>215</v>
      </c>
      <c r="D34" s="167"/>
      <c r="E34" s="167"/>
      <c r="F34" s="167"/>
      <c r="G34" s="167">
        <v>100</v>
      </c>
      <c r="H34" s="167">
        <v>3</v>
      </c>
      <c r="I34" s="167">
        <v>3</v>
      </c>
      <c r="J34" s="167"/>
      <c r="K34" s="167"/>
      <c r="L34" s="167"/>
      <c r="M34" s="167"/>
      <c r="N34" s="167"/>
      <c r="O34" s="167"/>
      <c r="P34" s="167"/>
      <c r="Q34" s="167"/>
      <c r="R34" s="167"/>
      <c r="S34" s="167"/>
      <c r="T34" s="167">
        <v>2285472</v>
      </c>
      <c r="U34" s="167">
        <v>2285472</v>
      </c>
      <c r="V34" s="167">
        <v>1300000</v>
      </c>
      <c r="W34" s="167">
        <v>1145056</v>
      </c>
      <c r="X34" s="167">
        <v>1145056</v>
      </c>
      <c r="Y34" s="167">
        <f t="shared" si="0"/>
        <v>1300100</v>
      </c>
      <c r="Z34" s="167">
        <f t="shared" si="1"/>
        <v>3430531</v>
      </c>
      <c r="AA34" s="167">
        <f t="shared" si="1"/>
        <v>3430531</v>
      </c>
    </row>
    <row r="35" spans="1:27" ht="21.75" customHeight="1" x14ac:dyDescent="0.25">
      <c r="A35" s="25" t="s">
        <v>267</v>
      </c>
      <c r="B35" s="27" t="s">
        <v>245</v>
      </c>
      <c r="C35" s="31" t="s">
        <v>216</v>
      </c>
      <c r="D35" s="167"/>
      <c r="E35" s="167"/>
      <c r="F35" s="167"/>
      <c r="G35" s="167"/>
      <c r="H35" s="167"/>
      <c r="I35" s="167"/>
      <c r="J35" s="167"/>
      <c r="K35" s="167"/>
      <c r="L35" s="167"/>
      <c r="M35" s="167"/>
      <c r="N35" s="167"/>
      <c r="O35" s="167"/>
      <c r="P35" s="167"/>
      <c r="Q35" s="167"/>
      <c r="R35" s="167"/>
      <c r="S35" s="167"/>
      <c r="T35" s="167"/>
      <c r="U35" s="167"/>
      <c r="V35" s="167"/>
      <c r="W35" s="167"/>
      <c r="X35" s="167"/>
      <c r="Y35" s="167">
        <f t="shared" si="0"/>
        <v>0</v>
      </c>
      <c r="Z35" s="167">
        <f t="shared" si="1"/>
        <v>0</v>
      </c>
      <c r="AA35" s="167">
        <f t="shared" si="1"/>
        <v>0</v>
      </c>
    </row>
    <row r="36" spans="1:27" ht="21.75" customHeight="1" x14ac:dyDescent="0.25">
      <c r="A36" s="25" t="s">
        <v>268</v>
      </c>
      <c r="B36" s="27" t="s">
        <v>240</v>
      </c>
      <c r="C36" s="31" t="s">
        <v>217</v>
      </c>
      <c r="D36" s="167"/>
      <c r="E36" s="167"/>
      <c r="F36" s="167"/>
      <c r="G36" s="167"/>
      <c r="H36" s="167"/>
      <c r="I36" s="167"/>
      <c r="J36" s="167"/>
      <c r="K36" s="167"/>
      <c r="L36" s="167"/>
      <c r="M36" s="167"/>
      <c r="N36" s="167"/>
      <c r="O36" s="167"/>
      <c r="P36" s="167"/>
      <c r="Q36" s="167"/>
      <c r="R36" s="167"/>
      <c r="S36" s="167"/>
      <c r="T36" s="167"/>
      <c r="U36" s="167"/>
      <c r="V36" s="167"/>
      <c r="W36" s="167"/>
      <c r="X36" s="167"/>
      <c r="Y36" s="167">
        <f t="shared" si="0"/>
        <v>0</v>
      </c>
      <c r="Z36" s="167">
        <f t="shared" si="1"/>
        <v>0</v>
      </c>
      <c r="AA36" s="167">
        <f t="shared" si="1"/>
        <v>0</v>
      </c>
    </row>
    <row r="37" spans="1:27" ht="21.75" customHeight="1" x14ac:dyDescent="0.25">
      <c r="A37" s="25" t="s">
        <v>269</v>
      </c>
      <c r="B37" s="27" t="s">
        <v>241</v>
      </c>
      <c r="C37" s="31" t="s">
        <v>218</v>
      </c>
      <c r="D37" s="167"/>
      <c r="E37" s="167"/>
      <c r="F37" s="167"/>
      <c r="G37" s="167"/>
      <c r="H37" s="167"/>
      <c r="I37" s="167"/>
      <c r="J37" s="167"/>
      <c r="K37" s="167"/>
      <c r="L37" s="167"/>
      <c r="M37" s="167"/>
      <c r="N37" s="167"/>
      <c r="O37" s="167"/>
      <c r="P37" s="167"/>
      <c r="Q37" s="167"/>
      <c r="R37" s="167"/>
      <c r="S37" s="167"/>
      <c r="T37" s="167"/>
      <c r="U37" s="167"/>
      <c r="V37" s="167"/>
      <c r="W37" s="167"/>
      <c r="X37" s="167"/>
      <c r="Y37" s="167">
        <f t="shared" si="0"/>
        <v>0</v>
      </c>
      <c r="Z37" s="167">
        <f t="shared" si="1"/>
        <v>0</v>
      </c>
      <c r="AA37" s="167">
        <f t="shared" si="1"/>
        <v>0</v>
      </c>
    </row>
    <row r="38" spans="1:27" ht="21.75" customHeight="1" x14ac:dyDescent="0.25">
      <c r="A38" s="25" t="s">
        <v>270</v>
      </c>
      <c r="B38" s="28" t="s">
        <v>242</v>
      </c>
      <c r="C38" s="31" t="s">
        <v>219</v>
      </c>
      <c r="D38" s="167">
        <f>+D31+D32+D33+D34+D35+D36+D37</f>
        <v>0</v>
      </c>
      <c r="E38" s="167">
        <f t="shared" ref="E38:AA38" si="8">+E31+E32+E33+E34+E35+E36+E37</f>
        <v>0</v>
      </c>
      <c r="F38" s="167">
        <f t="shared" si="8"/>
        <v>0</v>
      </c>
      <c r="G38" s="167">
        <f t="shared" si="8"/>
        <v>100</v>
      </c>
      <c r="H38" s="167">
        <f t="shared" si="8"/>
        <v>3</v>
      </c>
      <c r="I38" s="167">
        <f t="shared" si="8"/>
        <v>3</v>
      </c>
      <c r="J38" s="167">
        <f t="shared" si="8"/>
        <v>0</v>
      </c>
      <c r="K38" s="167">
        <f t="shared" si="8"/>
        <v>0</v>
      </c>
      <c r="L38" s="167">
        <f t="shared" si="8"/>
        <v>0</v>
      </c>
      <c r="M38" s="167">
        <f t="shared" si="8"/>
        <v>0</v>
      </c>
      <c r="N38" s="167">
        <f t="shared" si="8"/>
        <v>0</v>
      </c>
      <c r="O38" s="167">
        <f t="shared" si="8"/>
        <v>0</v>
      </c>
      <c r="P38" s="167">
        <f t="shared" si="8"/>
        <v>0</v>
      </c>
      <c r="Q38" s="167">
        <f t="shared" si="8"/>
        <v>0</v>
      </c>
      <c r="R38" s="167">
        <f t="shared" si="8"/>
        <v>0</v>
      </c>
      <c r="S38" s="167">
        <f t="shared" si="8"/>
        <v>0</v>
      </c>
      <c r="T38" s="167">
        <f t="shared" si="8"/>
        <v>2285472</v>
      </c>
      <c r="U38" s="167">
        <f t="shared" si="8"/>
        <v>2285472</v>
      </c>
      <c r="V38" s="167">
        <f t="shared" si="8"/>
        <v>1300000</v>
      </c>
      <c r="W38" s="167">
        <f t="shared" si="8"/>
        <v>1145056</v>
      </c>
      <c r="X38" s="167">
        <f t="shared" si="8"/>
        <v>1145056</v>
      </c>
      <c r="Y38" s="168">
        <f t="shared" si="8"/>
        <v>1300100</v>
      </c>
      <c r="Z38" s="168">
        <f t="shared" si="8"/>
        <v>3430531</v>
      </c>
      <c r="AA38" s="168">
        <f t="shared" si="8"/>
        <v>3430531</v>
      </c>
    </row>
    <row r="39" spans="1:27" ht="21.75" customHeight="1" x14ac:dyDescent="0.25">
      <c r="A39" s="25" t="s">
        <v>271</v>
      </c>
      <c r="B39" s="31" t="s">
        <v>243</v>
      </c>
      <c r="C39" s="26" t="s">
        <v>221</v>
      </c>
      <c r="D39" s="167">
        <f>SUM(D41:D45)</f>
        <v>97232574</v>
      </c>
      <c r="E39" s="167">
        <f t="shared" ref="E39:AA39" si="9">SUM(E41:E45)</f>
        <v>105948746</v>
      </c>
      <c r="F39" s="167">
        <f t="shared" si="9"/>
        <v>85301526</v>
      </c>
      <c r="G39" s="167">
        <f t="shared" si="9"/>
        <v>0</v>
      </c>
      <c r="H39" s="167">
        <f t="shared" si="9"/>
        <v>0</v>
      </c>
      <c r="I39" s="167">
        <f t="shared" si="9"/>
        <v>0</v>
      </c>
      <c r="J39" s="167">
        <f t="shared" si="9"/>
        <v>0</v>
      </c>
      <c r="K39" s="167">
        <f t="shared" si="9"/>
        <v>0</v>
      </c>
      <c r="L39" s="167">
        <f t="shared" si="9"/>
        <v>0</v>
      </c>
      <c r="M39" s="167">
        <f t="shared" si="9"/>
        <v>0</v>
      </c>
      <c r="N39" s="167">
        <f t="shared" si="9"/>
        <v>0</v>
      </c>
      <c r="O39" s="167">
        <f t="shared" si="9"/>
        <v>0</v>
      </c>
      <c r="P39" s="167">
        <f t="shared" si="9"/>
        <v>0</v>
      </c>
      <c r="Q39" s="167">
        <f t="shared" si="9"/>
        <v>0</v>
      </c>
      <c r="R39" s="167">
        <f t="shared" si="9"/>
        <v>0</v>
      </c>
      <c r="S39" s="167">
        <f t="shared" si="9"/>
        <v>0</v>
      </c>
      <c r="T39" s="167">
        <f t="shared" si="9"/>
        <v>0</v>
      </c>
      <c r="U39" s="167">
        <f t="shared" si="9"/>
        <v>0</v>
      </c>
      <c r="V39" s="167">
        <f t="shared" si="9"/>
        <v>0</v>
      </c>
      <c r="W39" s="167">
        <f t="shared" si="9"/>
        <v>0</v>
      </c>
      <c r="X39" s="167">
        <f t="shared" si="9"/>
        <v>0</v>
      </c>
      <c r="Y39" s="167">
        <f t="shared" si="9"/>
        <v>97232574</v>
      </c>
      <c r="Z39" s="167">
        <f t="shared" si="9"/>
        <v>105948746</v>
      </c>
      <c r="AA39" s="167">
        <f t="shared" si="9"/>
        <v>85301526</v>
      </c>
    </row>
    <row r="40" spans="1:27" ht="21.75" customHeight="1" x14ac:dyDescent="0.25">
      <c r="A40" s="25" t="s">
        <v>272</v>
      </c>
      <c r="B40" s="90" t="s">
        <v>533</v>
      </c>
      <c r="C40" s="26"/>
      <c r="D40" s="167"/>
      <c r="E40" s="167"/>
      <c r="F40" s="167"/>
      <c r="G40" s="167"/>
      <c r="H40" s="167"/>
      <c r="I40" s="167"/>
      <c r="J40" s="167"/>
      <c r="K40" s="167"/>
      <c r="L40" s="167"/>
      <c r="M40" s="167"/>
      <c r="N40" s="167"/>
      <c r="O40" s="167"/>
      <c r="P40" s="167"/>
      <c r="Q40" s="167"/>
      <c r="R40" s="167"/>
      <c r="S40" s="167"/>
      <c r="T40" s="167"/>
      <c r="U40" s="167"/>
      <c r="V40" s="167"/>
      <c r="W40" s="167"/>
      <c r="X40" s="167"/>
      <c r="Y40" s="167">
        <f t="shared" si="0"/>
        <v>0</v>
      </c>
      <c r="Z40" s="167">
        <f t="shared" si="1"/>
        <v>0</v>
      </c>
      <c r="AA40" s="167">
        <f t="shared" si="1"/>
        <v>0</v>
      </c>
    </row>
    <row r="41" spans="1:27" ht="21.75" customHeight="1" x14ac:dyDescent="0.25">
      <c r="A41" s="25" t="s">
        <v>273</v>
      </c>
      <c r="B41" s="32" t="s">
        <v>768</v>
      </c>
      <c r="C41" s="30"/>
      <c r="D41" s="167">
        <f>276860+92040</f>
        <v>368900</v>
      </c>
      <c r="E41" s="167">
        <f>276860+92040+3068287</f>
        <v>3437187</v>
      </c>
      <c r="F41" s="167">
        <v>3437187</v>
      </c>
      <c r="G41" s="167"/>
      <c r="H41" s="167"/>
      <c r="I41" s="167"/>
      <c r="J41" s="167"/>
      <c r="K41" s="167"/>
      <c r="L41" s="167"/>
      <c r="M41" s="167"/>
      <c r="N41" s="167"/>
      <c r="O41" s="167"/>
      <c r="P41" s="167"/>
      <c r="Q41" s="167"/>
      <c r="R41" s="167"/>
      <c r="S41" s="167"/>
      <c r="T41" s="167"/>
      <c r="U41" s="167"/>
      <c r="V41" s="167"/>
      <c r="W41" s="167"/>
      <c r="X41" s="167"/>
      <c r="Y41" s="167">
        <f t="shared" si="0"/>
        <v>368900</v>
      </c>
      <c r="Z41" s="167">
        <f t="shared" si="1"/>
        <v>3437187</v>
      </c>
      <c r="AA41" s="167">
        <f t="shared" si="1"/>
        <v>3437187</v>
      </c>
    </row>
    <row r="42" spans="1:27" ht="21.75" customHeight="1" x14ac:dyDescent="0.25">
      <c r="A42" s="25" t="s">
        <v>277</v>
      </c>
      <c r="B42" s="32" t="s">
        <v>769</v>
      </c>
      <c r="C42" s="30"/>
      <c r="D42" s="167"/>
      <c r="E42" s="167"/>
      <c r="F42" s="167"/>
      <c r="G42" s="167"/>
      <c r="H42" s="167"/>
      <c r="I42" s="167"/>
      <c r="J42" s="167"/>
      <c r="K42" s="167"/>
      <c r="L42" s="167"/>
      <c r="M42" s="167"/>
      <c r="N42" s="167"/>
      <c r="O42" s="167"/>
      <c r="P42" s="167"/>
      <c r="Q42" s="167"/>
      <c r="R42" s="167"/>
      <c r="S42" s="167"/>
      <c r="T42" s="167"/>
      <c r="U42" s="167"/>
      <c r="V42" s="167"/>
      <c r="W42" s="167"/>
      <c r="X42" s="167"/>
      <c r="Y42" s="167">
        <f t="shared" si="0"/>
        <v>0</v>
      </c>
      <c r="Z42" s="167">
        <f t="shared" si="1"/>
        <v>0</v>
      </c>
      <c r="AA42" s="167">
        <f t="shared" si="1"/>
        <v>0</v>
      </c>
    </row>
    <row r="43" spans="1:27" ht="21.75" customHeight="1" x14ac:dyDescent="0.25">
      <c r="A43" s="25" t="s">
        <v>278</v>
      </c>
      <c r="B43" s="32" t="s">
        <v>506</v>
      </c>
      <c r="C43" s="30"/>
      <c r="D43" s="167">
        <f>+Y28-Y31-Y33-Y34-Y36-Y41</f>
        <v>95012674</v>
      </c>
      <c r="E43" s="167">
        <f>+Z28-Z31-Z33-Z34-Z36-Z41</f>
        <v>100660559</v>
      </c>
      <c r="F43" s="167">
        <f>81864339-F44</f>
        <v>80013339</v>
      </c>
      <c r="G43" s="167"/>
      <c r="H43" s="167"/>
      <c r="I43" s="167"/>
      <c r="J43" s="167"/>
      <c r="K43" s="167"/>
      <c r="L43" s="167"/>
      <c r="M43" s="167"/>
      <c r="N43" s="167"/>
      <c r="O43" s="167"/>
      <c r="P43" s="167"/>
      <c r="Q43" s="167"/>
      <c r="R43" s="167"/>
      <c r="S43" s="167"/>
      <c r="T43" s="167"/>
      <c r="U43" s="167"/>
      <c r="V43" s="167"/>
      <c r="W43" s="167"/>
      <c r="X43" s="167"/>
      <c r="Y43" s="167">
        <f t="shared" si="0"/>
        <v>95012674</v>
      </c>
      <c r="Z43" s="167">
        <f t="shared" si="1"/>
        <v>100660559</v>
      </c>
      <c r="AA43" s="167">
        <f t="shared" si="1"/>
        <v>80013339</v>
      </c>
    </row>
    <row r="44" spans="1:27" ht="21.75" customHeight="1" x14ac:dyDescent="0.25">
      <c r="A44" s="25" t="s">
        <v>279</v>
      </c>
      <c r="B44" s="32" t="s">
        <v>507</v>
      </c>
      <c r="C44" s="30"/>
      <c r="D44" s="167">
        <f>+Y29-Y32-Y35-Y37-Y42</f>
        <v>1851000</v>
      </c>
      <c r="E44" s="167">
        <f>+Z29-Z32-Z35-Z37-Z42</f>
        <v>1851000</v>
      </c>
      <c r="F44" s="167">
        <v>1851000</v>
      </c>
      <c r="G44" s="167"/>
      <c r="H44" s="167"/>
      <c r="I44" s="167"/>
      <c r="J44" s="167"/>
      <c r="K44" s="167"/>
      <c r="L44" s="167"/>
      <c r="M44" s="167"/>
      <c r="N44" s="167"/>
      <c r="O44" s="167"/>
      <c r="P44" s="167"/>
      <c r="Q44" s="167"/>
      <c r="R44" s="167"/>
      <c r="S44" s="167"/>
      <c r="T44" s="167"/>
      <c r="U44" s="167"/>
      <c r="V44" s="167"/>
      <c r="W44" s="167"/>
      <c r="X44" s="167"/>
      <c r="Y44" s="167">
        <f t="shared" si="0"/>
        <v>1851000</v>
      </c>
      <c r="Z44" s="167">
        <f t="shared" si="1"/>
        <v>1851000</v>
      </c>
      <c r="AA44" s="167">
        <f t="shared" si="1"/>
        <v>1851000</v>
      </c>
    </row>
    <row r="45" spans="1:27" ht="21.75" customHeight="1" x14ac:dyDescent="0.25">
      <c r="A45" s="25" t="s">
        <v>280</v>
      </c>
      <c r="B45" s="32" t="s">
        <v>542</v>
      </c>
      <c r="C45" s="30"/>
      <c r="D45" s="167"/>
      <c r="E45" s="167"/>
      <c r="F45" s="167"/>
      <c r="G45" s="167"/>
      <c r="H45" s="167"/>
      <c r="I45" s="167"/>
      <c r="J45" s="167"/>
      <c r="K45" s="167"/>
      <c r="L45" s="167"/>
      <c r="M45" s="167"/>
      <c r="N45" s="167"/>
      <c r="O45" s="167"/>
      <c r="P45" s="167"/>
      <c r="Q45" s="167"/>
      <c r="R45" s="167"/>
      <c r="S45" s="167"/>
      <c r="T45" s="167"/>
      <c r="U45" s="167"/>
      <c r="V45" s="167"/>
      <c r="W45" s="167"/>
      <c r="X45" s="167"/>
      <c r="Y45" s="167">
        <f t="shared" si="0"/>
        <v>0</v>
      </c>
      <c r="Z45" s="167">
        <f t="shared" si="1"/>
        <v>0</v>
      </c>
      <c r="AA45" s="167">
        <f t="shared" si="1"/>
        <v>0</v>
      </c>
    </row>
    <row r="46" spans="1:27" ht="21.75" customHeight="1" x14ac:dyDescent="0.25">
      <c r="A46" s="25" t="s">
        <v>281</v>
      </c>
      <c r="B46" s="222" t="s">
        <v>741</v>
      </c>
      <c r="C46" s="30"/>
      <c r="D46" s="167"/>
      <c r="E46" s="167"/>
      <c r="F46" s="167"/>
      <c r="G46" s="167"/>
      <c r="H46" s="167"/>
      <c r="I46" s="167"/>
      <c r="J46" s="167"/>
      <c r="K46" s="167"/>
      <c r="L46" s="167"/>
      <c r="M46" s="167"/>
      <c r="N46" s="167"/>
      <c r="O46" s="167"/>
      <c r="P46" s="167"/>
      <c r="Q46" s="167"/>
      <c r="R46" s="167"/>
      <c r="S46" s="167"/>
      <c r="T46" s="167"/>
      <c r="U46" s="167"/>
      <c r="V46" s="167"/>
      <c r="W46" s="167"/>
      <c r="X46" s="167"/>
      <c r="Y46" s="167">
        <f t="shared" si="0"/>
        <v>0</v>
      </c>
      <c r="Z46" s="167">
        <f t="shared" si="1"/>
        <v>0</v>
      </c>
      <c r="AA46" s="167">
        <f t="shared" si="1"/>
        <v>0</v>
      </c>
    </row>
    <row r="47" spans="1:27" ht="21.75" customHeight="1" x14ac:dyDescent="0.25">
      <c r="A47" s="25" t="s">
        <v>282</v>
      </c>
      <c r="B47" s="33" t="s">
        <v>109</v>
      </c>
      <c r="C47" s="26"/>
      <c r="D47" s="168">
        <f>+D31+D33+D34+D36+D41+D43</f>
        <v>95381574</v>
      </c>
      <c r="E47" s="168">
        <f t="shared" ref="E47:AA47" si="10">+E31+E33+E34+E36+E41+E43</f>
        <v>104097746</v>
      </c>
      <c r="F47" s="168">
        <f t="shared" si="10"/>
        <v>83450526</v>
      </c>
      <c r="G47" s="168">
        <f t="shared" si="10"/>
        <v>100</v>
      </c>
      <c r="H47" s="168">
        <f t="shared" si="10"/>
        <v>3</v>
      </c>
      <c r="I47" s="168">
        <f t="shared" si="10"/>
        <v>3</v>
      </c>
      <c r="J47" s="168">
        <f t="shared" si="10"/>
        <v>0</v>
      </c>
      <c r="K47" s="168">
        <f t="shared" si="10"/>
        <v>0</v>
      </c>
      <c r="L47" s="168">
        <f t="shared" si="10"/>
        <v>0</v>
      </c>
      <c r="M47" s="168">
        <f t="shared" si="10"/>
        <v>0</v>
      </c>
      <c r="N47" s="168">
        <f t="shared" si="10"/>
        <v>0</v>
      </c>
      <c r="O47" s="168">
        <f t="shared" si="10"/>
        <v>0</v>
      </c>
      <c r="P47" s="168">
        <f t="shared" si="10"/>
        <v>0</v>
      </c>
      <c r="Q47" s="168">
        <f t="shared" si="10"/>
        <v>0</v>
      </c>
      <c r="R47" s="168">
        <f t="shared" si="10"/>
        <v>0</v>
      </c>
      <c r="S47" s="168">
        <f t="shared" si="10"/>
        <v>0</v>
      </c>
      <c r="T47" s="168">
        <f t="shared" si="10"/>
        <v>2285472</v>
      </c>
      <c r="U47" s="168">
        <f t="shared" si="10"/>
        <v>2285472</v>
      </c>
      <c r="V47" s="168">
        <f t="shared" si="10"/>
        <v>1300000</v>
      </c>
      <c r="W47" s="168">
        <f t="shared" si="10"/>
        <v>1145056</v>
      </c>
      <c r="X47" s="168">
        <f t="shared" si="10"/>
        <v>1145056</v>
      </c>
      <c r="Y47" s="168">
        <f t="shared" si="10"/>
        <v>96681674</v>
      </c>
      <c r="Z47" s="168">
        <f t="shared" si="10"/>
        <v>107528277</v>
      </c>
      <c r="AA47" s="168">
        <f t="shared" si="10"/>
        <v>86881057</v>
      </c>
    </row>
    <row r="48" spans="1:27" ht="21.75" customHeight="1" x14ac:dyDescent="0.25">
      <c r="A48" s="25" t="s">
        <v>283</v>
      </c>
      <c r="B48" s="33" t="s">
        <v>110</v>
      </c>
      <c r="C48" s="26"/>
      <c r="D48" s="168">
        <f>+D32+D35+D37+D42+D429+D45+D44</f>
        <v>1851000</v>
      </c>
      <c r="E48" s="168">
        <f t="shared" ref="E48:AA48" si="11">+E32+E35+E37+E42+E429+E45+E44</f>
        <v>1851000</v>
      </c>
      <c r="F48" s="168">
        <f t="shared" si="11"/>
        <v>1851000</v>
      </c>
      <c r="G48" s="168">
        <f t="shared" si="11"/>
        <v>0</v>
      </c>
      <c r="H48" s="168">
        <f t="shared" si="11"/>
        <v>0</v>
      </c>
      <c r="I48" s="168">
        <f t="shared" si="11"/>
        <v>0</v>
      </c>
      <c r="J48" s="168">
        <f t="shared" si="11"/>
        <v>0</v>
      </c>
      <c r="K48" s="168">
        <f t="shared" si="11"/>
        <v>0</v>
      </c>
      <c r="L48" s="168">
        <f t="shared" si="11"/>
        <v>0</v>
      </c>
      <c r="M48" s="168">
        <f t="shared" si="11"/>
        <v>0</v>
      </c>
      <c r="N48" s="168">
        <f t="shared" si="11"/>
        <v>0</v>
      </c>
      <c r="O48" s="168">
        <f t="shared" si="11"/>
        <v>0</v>
      </c>
      <c r="P48" s="168">
        <f t="shared" si="11"/>
        <v>0</v>
      </c>
      <c r="Q48" s="168">
        <f t="shared" si="11"/>
        <v>0</v>
      </c>
      <c r="R48" s="168">
        <f t="shared" si="11"/>
        <v>0</v>
      </c>
      <c r="S48" s="168">
        <f t="shared" si="11"/>
        <v>0</v>
      </c>
      <c r="T48" s="168">
        <f t="shared" si="11"/>
        <v>0</v>
      </c>
      <c r="U48" s="168">
        <f t="shared" si="11"/>
        <v>0</v>
      </c>
      <c r="V48" s="168">
        <f t="shared" si="11"/>
        <v>0</v>
      </c>
      <c r="W48" s="168">
        <f t="shared" si="11"/>
        <v>0</v>
      </c>
      <c r="X48" s="168">
        <f t="shared" si="11"/>
        <v>0</v>
      </c>
      <c r="Y48" s="168">
        <f t="shared" si="11"/>
        <v>1851000</v>
      </c>
      <c r="Z48" s="168">
        <f t="shared" si="11"/>
        <v>1851000</v>
      </c>
      <c r="AA48" s="168">
        <f t="shared" si="11"/>
        <v>1851000</v>
      </c>
    </row>
    <row r="49" spans="1:28" ht="21.75" customHeight="1" x14ac:dyDescent="0.25">
      <c r="A49" s="25" t="s">
        <v>284</v>
      </c>
      <c r="B49" s="33" t="s">
        <v>329</v>
      </c>
      <c r="C49" s="26"/>
      <c r="D49" s="168">
        <f>+D47+D48</f>
        <v>97232574</v>
      </c>
      <c r="E49" s="168">
        <f t="shared" ref="E49:AA49" si="12">+E47+E48</f>
        <v>105948746</v>
      </c>
      <c r="F49" s="168">
        <f t="shared" si="12"/>
        <v>85301526</v>
      </c>
      <c r="G49" s="168">
        <f t="shared" si="12"/>
        <v>100</v>
      </c>
      <c r="H49" s="168">
        <f t="shared" si="12"/>
        <v>3</v>
      </c>
      <c r="I49" s="168">
        <f t="shared" si="12"/>
        <v>3</v>
      </c>
      <c r="J49" s="168">
        <f t="shared" si="12"/>
        <v>0</v>
      </c>
      <c r="K49" s="168">
        <f t="shared" si="12"/>
        <v>0</v>
      </c>
      <c r="L49" s="168">
        <f t="shared" si="12"/>
        <v>0</v>
      </c>
      <c r="M49" s="168">
        <f t="shared" si="12"/>
        <v>0</v>
      </c>
      <c r="N49" s="168">
        <f t="shared" si="12"/>
        <v>0</v>
      </c>
      <c r="O49" s="168">
        <f t="shared" si="12"/>
        <v>0</v>
      </c>
      <c r="P49" s="168">
        <f t="shared" si="12"/>
        <v>0</v>
      </c>
      <c r="Q49" s="168">
        <f t="shared" si="12"/>
        <v>0</v>
      </c>
      <c r="R49" s="168">
        <f t="shared" si="12"/>
        <v>0</v>
      </c>
      <c r="S49" s="168">
        <f t="shared" si="12"/>
        <v>0</v>
      </c>
      <c r="T49" s="168">
        <f t="shared" si="12"/>
        <v>2285472</v>
      </c>
      <c r="U49" s="168">
        <f t="shared" si="12"/>
        <v>2285472</v>
      </c>
      <c r="V49" s="168">
        <f t="shared" si="12"/>
        <v>1300000</v>
      </c>
      <c r="W49" s="168">
        <f t="shared" si="12"/>
        <v>1145056</v>
      </c>
      <c r="X49" s="168">
        <f t="shared" si="12"/>
        <v>1145056</v>
      </c>
      <c r="Y49" s="168">
        <f t="shared" si="12"/>
        <v>98532674</v>
      </c>
      <c r="Z49" s="168">
        <f t="shared" si="12"/>
        <v>109379277</v>
      </c>
      <c r="AA49" s="168">
        <f t="shared" si="12"/>
        <v>88732057</v>
      </c>
    </row>
    <row r="50" spans="1:28" ht="21.75" customHeight="1" x14ac:dyDescent="0.25">
      <c r="A50" s="25" t="s">
        <v>285</v>
      </c>
      <c r="B50" s="787" t="s">
        <v>2075</v>
      </c>
      <c r="C50" s="172"/>
      <c r="D50" s="167"/>
      <c r="E50" s="167"/>
      <c r="F50" s="167"/>
      <c r="G50" s="167">
        <v>10</v>
      </c>
      <c r="H50" s="167">
        <v>10</v>
      </c>
      <c r="I50" s="763">
        <v>7.8</v>
      </c>
      <c r="J50" s="167"/>
      <c r="K50" s="167"/>
      <c r="L50" s="167"/>
      <c r="M50" s="167"/>
      <c r="N50" s="167"/>
      <c r="O50" s="167"/>
      <c r="P50" s="167"/>
      <c r="Q50" s="167"/>
      <c r="R50" s="167"/>
      <c r="S50" s="167"/>
      <c r="T50" s="167"/>
      <c r="U50" s="167"/>
      <c r="V50" s="167"/>
      <c r="W50" s="167"/>
      <c r="X50" s="167"/>
      <c r="Y50" s="167">
        <f t="shared" si="0"/>
        <v>10</v>
      </c>
      <c r="Z50" s="167">
        <f t="shared" si="1"/>
        <v>10</v>
      </c>
      <c r="AA50" s="763">
        <f t="shared" si="1"/>
        <v>7.8</v>
      </c>
      <c r="AB50" s="80">
        <f>Y49-Y30</f>
        <v>0</v>
      </c>
    </row>
    <row r="51" spans="1:28" ht="21.75" customHeight="1" x14ac:dyDescent="0.25">
      <c r="A51" s="25" t="s">
        <v>286</v>
      </c>
      <c r="B51" s="46" t="s">
        <v>964</v>
      </c>
      <c r="C51" s="172"/>
      <c r="D51" s="198"/>
      <c r="E51" s="198"/>
      <c r="F51" s="198"/>
      <c r="G51" s="198"/>
      <c r="H51" s="198"/>
      <c r="I51" s="198"/>
      <c r="J51" s="198"/>
      <c r="K51" s="198"/>
      <c r="L51" s="198"/>
      <c r="M51" s="198"/>
      <c r="N51" s="198"/>
      <c r="O51" s="198"/>
      <c r="P51" s="198"/>
      <c r="Q51" s="198"/>
      <c r="R51" s="198"/>
      <c r="S51" s="198"/>
      <c r="T51" s="198"/>
      <c r="U51" s="198"/>
      <c r="V51" s="198"/>
      <c r="W51" s="198"/>
      <c r="X51" s="198"/>
      <c r="Y51" s="167">
        <f t="shared" si="0"/>
        <v>0</v>
      </c>
      <c r="Z51" s="167">
        <f t="shared" si="1"/>
        <v>0</v>
      </c>
      <c r="AA51" s="167">
        <f t="shared" si="1"/>
        <v>0</v>
      </c>
      <c r="AB51" s="80"/>
    </row>
  </sheetData>
  <mergeCells count="31">
    <mergeCell ref="S6:U7"/>
    <mergeCell ref="V6:X7"/>
    <mergeCell ref="Y4:AA7"/>
    <mergeCell ref="S4:U4"/>
    <mergeCell ref="V4:X4"/>
    <mergeCell ref="S5:U5"/>
    <mergeCell ref="V5:X5"/>
    <mergeCell ref="D6:F7"/>
    <mergeCell ref="G6:I7"/>
    <mergeCell ref="J6:L7"/>
    <mergeCell ref="M4:O4"/>
    <mergeCell ref="P4:R4"/>
    <mergeCell ref="D5:F5"/>
    <mergeCell ref="G5:I5"/>
    <mergeCell ref="J5:L5"/>
    <mergeCell ref="M5:O5"/>
    <mergeCell ref="P5:R5"/>
    <mergeCell ref="M6:O7"/>
    <mergeCell ref="P6:R7"/>
    <mergeCell ref="D2:I2"/>
    <mergeCell ref="J2:O2"/>
    <mergeCell ref="P2:U2"/>
    <mergeCell ref="V2:AA2"/>
    <mergeCell ref="D4:F4"/>
    <mergeCell ref="G4:I4"/>
    <mergeCell ref="J4:L4"/>
    <mergeCell ref="A3:C3"/>
    <mergeCell ref="B6:C6"/>
    <mergeCell ref="A4:A7"/>
    <mergeCell ref="B4:C4"/>
    <mergeCell ref="B5:C5"/>
  </mergeCells>
  <phoneticPr fontId="44" type="noConversion"/>
  <printOptions horizontalCentered="1" verticalCentered="1"/>
  <pageMargins left="0.35433070866141736" right="0.35433070866141736" top="0.39370078740157483" bottom="0.39370078740157483" header="0.51181102362204722" footer="0.51181102362204722"/>
  <pageSetup paperSize="9" scale="50" orientation="portrait" horizontalDpi="200" verticalDpi="200" r:id="rId1"/>
  <headerFooter alignWithMargins="0">
    <oddHeader>&amp;C2022. évi zárszámadás&amp;R&amp;A</oddHeader>
    <oddFooter>&amp;C&amp;P/&amp;N</oddFooter>
  </headerFooter>
  <colBreaks count="3" manualBreakCount="3">
    <brk id="9" max="50" man="1"/>
    <brk id="15" max="50" man="1"/>
    <brk id="21"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sheetPr>
  <dimension ref="A1:BN51"/>
  <sheetViews>
    <sheetView view="pageBreakPreview" zoomScale="80" zoomScaleNormal="70" zoomScaleSheetLayoutView="80" workbookViewId="0">
      <pane xSplit="3" ySplit="8" topLeftCell="AY36" activePane="bottomRight" state="frozen"/>
      <selection activeCell="Y17" sqref="Y17"/>
      <selection pane="topRight" activeCell="Y17" sqref="Y17"/>
      <selection pane="bottomLeft" activeCell="Y17" sqref="Y17"/>
      <selection pane="bottomRight" activeCell="BL50" sqref="BL50"/>
    </sheetView>
  </sheetViews>
  <sheetFormatPr defaultColWidth="9.140625" defaultRowHeight="12.75" x14ac:dyDescent="0.2"/>
  <cols>
    <col min="1" max="1" width="5.85546875" style="19" customWidth="1"/>
    <col min="2" max="2" width="67.140625" style="19" customWidth="1"/>
    <col min="3" max="3" width="8" style="19" customWidth="1"/>
    <col min="4" max="6" width="18.140625" style="20" customWidth="1"/>
    <col min="7" max="7" width="17.28515625" style="20" customWidth="1"/>
    <col min="8" max="8" width="17.85546875" style="20" customWidth="1"/>
    <col min="9" max="9" width="16.28515625" style="20" customWidth="1"/>
    <col min="10" max="15" width="17.28515625" style="20" customWidth="1"/>
    <col min="16" max="16" width="17.7109375" style="20" customWidth="1"/>
    <col min="17" max="18" width="18.7109375" style="20" customWidth="1"/>
    <col min="19" max="21" width="17" style="20" customWidth="1"/>
    <col min="22" max="24" width="16.28515625" style="20" customWidth="1"/>
    <col min="25" max="27" width="17.28515625" style="20" customWidth="1"/>
    <col min="28" max="28" width="17.140625" style="20" customWidth="1"/>
    <col min="29" max="30" width="16.85546875" style="20" customWidth="1"/>
    <col min="31" max="33" width="17.140625" style="20" customWidth="1"/>
    <col min="34" max="34" width="17.7109375" style="20" customWidth="1"/>
    <col min="35" max="35" width="19.5703125" style="20" customWidth="1"/>
    <col min="36" max="36" width="18.7109375" style="20" customWidth="1"/>
    <col min="37" max="39" width="17.7109375" style="20" customWidth="1"/>
    <col min="40" max="42" width="17.85546875" style="20" customWidth="1"/>
    <col min="43" max="45" width="18" style="20" customWidth="1"/>
    <col min="46" max="51" width="18.5703125" style="20" customWidth="1"/>
    <col min="52" max="54" width="17.42578125" style="20" customWidth="1"/>
    <col min="55" max="55" width="18.140625" style="20" customWidth="1"/>
    <col min="56" max="56" width="19" style="20" customWidth="1"/>
    <col min="57" max="57" width="17.5703125" style="20" customWidth="1"/>
    <col min="58" max="59" width="17.42578125" style="20" customWidth="1"/>
    <col min="60" max="60" width="16.42578125" style="20" customWidth="1"/>
    <col min="61" max="61" width="19.42578125" style="20" customWidth="1"/>
    <col min="62" max="63" width="18.7109375" style="19" customWidth="1"/>
    <col min="64" max="64" width="17.85546875" style="19" customWidth="1"/>
    <col min="65" max="65" width="14.5703125" style="19" bestFit="1" customWidth="1"/>
    <col min="66" max="16384" width="9.140625" style="19"/>
  </cols>
  <sheetData>
    <row r="1" spans="1:66" ht="15.75" x14ac:dyDescent="0.25">
      <c r="I1" s="166" t="s">
        <v>415</v>
      </c>
      <c r="O1" s="166" t="s">
        <v>415</v>
      </c>
      <c r="U1" s="166" t="s">
        <v>415</v>
      </c>
      <c r="AA1" s="166" t="s">
        <v>415</v>
      </c>
      <c r="AG1" s="166" t="s">
        <v>415</v>
      </c>
      <c r="AM1" s="166" t="s">
        <v>415</v>
      </c>
      <c r="AS1" s="166" t="s">
        <v>415</v>
      </c>
      <c r="AY1" s="166" t="s">
        <v>415</v>
      </c>
      <c r="BE1" s="166" t="s">
        <v>415</v>
      </c>
      <c r="BK1" s="166" t="s">
        <v>415</v>
      </c>
    </row>
    <row r="2" spans="1:66" ht="30" customHeight="1" x14ac:dyDescent="0.25">
      <c r="A2" s="372"/>
      <c r="B2" s="377"/>
      <c r="C2" s="373"/>
      <c r="D2" s="1057" t="s">
        <v>1998</v>
      </c>
      <c r="E2" s="1058"/>
      <c r="F2" s="1058"/>
      <c r="G2" s="1058"/>
      <c r="H2" s="1058"/>
      <c r="I2" s="1059"/>
      <c r="J2" s="1057" t="s">
        <v>1998</v>
      </c>
      <c r="K2" s="1058"/>
      <c r="L2" s="1058"/>
      <c r="M2" s="1058"/>
      <c r="N2" s="1058"/>
      <c r="O2" s="1059"/>
      <c r="P2" s="1057" t="s">
        <v>1998</v>
      </c>
      <c r="Q2" s="1058"/>
      <c r="R2" s="1058"/>
      <c r="S2" s="1058"/>
      <c r="T2" s="1058"/>
      <c r="U2" s="1059"/>
      <c r="V2" s="1057" t="s">
        <v>1998</v>
      </c>
      <c r="W2" s="1058"/>
      <c r="X2" s="1058"/>
      <c r="Y2" s="1058"/>
      <c r="Z2" s="1058"/>
      <c r="AA2" s="1059"/>
      <c r="AB2" s="1057" t="s">
        <v>1998</v>
      </c>
      <c r="AC2" s="1058"/>
      <c r="AD2" s="1058"/>
      <c r="AE2" s="1058"/>
      <c r="AF2" s="1058"/>
      <c r="AG2" s="1059"/>
      <c r="AH2" s="1057" t="s">
        <v>1998</v>
      </c>
      <c r="AI2" s="1058"/>
      <c r="AJ2" s="1058"/>
      <c r="AK2" s="1058"/>
      <c r="AL2" s="1058"/>
      <c r="AM2" s="1059"/>
      <c r="AN2" s="1057" t="s">
        <v>1998</v>
      </c>
      <c r="AO2" s="1058"/>
      <c r="AP2" s="1058"/>
      <c r="AQ2" s="1058"/>
      <c r="AR2" s="1058"/>
      <c r="AS2" s="1059"/>
      <c r="AT2" s="1057" t="s">
        <v>1998</v>
      </c>
      <c r="AU2" s="1058"/>
      <c r="AV2" s="1058"/>
      <c r="AW2" s="1058"/>
      <c r="AX2" s="1058"/>
      <c r="AY2" s="1059"/>
      <c r="AZ2" s="1057" t="s">
        <v>1998</v>
      </c>
      <c r="BA2" s="1058"/>
      <c r="BB2" s="1058"/>
      <c r="BC2" s="1058"/>
      <c r="BD2" s="1058"/>
      <c r="BE2" s="1059"/>
      <c r="BF2" s="1057" t="s">
        <v>1998</v>
      </c>
      <c r="BG2" s="1058"/>
      <c r="BH2" s="1058"/>
      <c r="BI2" s="1058"/>
      <c r="BJ2" s="1058"/>
      <c r="BK2" s="1059"/>
    </row>
    <row r="3" spans="1:66" ht="36.75" customHeight="1" x14ac:dyDescent="0.2">
      <c r="A3" s="1028" t="s">
        <v>133</v>
      </c>
      <c r="B3" s="1029"/>
      <c r="C3" s="1030"/>
      <c r="D3" s="644" t="s">
        <v>274</v>
      </c>
      <c r="E3" s="644" t="s">
        <v>1074</v>
      </c>
      <c r="F3" s="644" t="s">
        <v>1546</v>
      </c>
      <c r="G3" s="644" t="s">
        <v>274</v>
      </c>
      <c r="H3" s="644" t="s">
        <v>1074</v>
      </c>
      <c r="I3" s="644" t="s">
        <v>1546</v>
      </c>
      <c r="J3" s="644" t="s">
        <v>274</v>
      </c>
      <c r="K3" s="644" t="s">
        <v>1074</v>
      </c>
      <c r="L3" s="644" t="s">
        <v>1546</v>
      </c>
      <c r="M3" s="644" t="s">
        <v>274</v>
      </c>
      <c r="N3" s="644" t="s">
        <v>1074</v>
      </c>
      <c r="O3" s="644" t="s">
        <v>1546</v>
      </c>
      <c r="P3" s="644" t="s">
        <v>274</v>
      </c>
      <c r="Q3" s="644" t="s">
        <v>1074</v>
      </c>
      <c r="R3" s="644" t="s">
        <v>1546</v>
      </c>
      <c r="S3" s="644" t="s">
        <v>274</v>
      </c>
      <c r="T3" s="644" t="s">
        <v>1074</v>
      </c>
      <c r="U3" s="644" t="s">
        <v>1546</v>
      </c>
      <c r="V3" s="644" t="s">
        <v>274</v>
      </c>
      <c r="W3" s="644" t="s">
        <v>1074</v>
      </c>
      <c r="X3" s="644" t="s">
        <v>1546</v>
      </c>
      <c r="Y3" s="644" t="s">
        <v>274</v>
      </c>
      <c r="Z3" s="644" t="s">
        <v>1074</v>
      </c>
      <c r="AA3" s="644" t="s">
        <v>1546</v>
      </c>
      <c r="AB3" s="644" t="s">
        <v>274</v>
      </c>
      <c r="AC3" s="644" t="s">
        <v>1074</v>
      </c>
      <c r="AD3" s="644" t="s">
        <v>1546</v>
      </c>
      <c r="AE3" s="644" t="s">
        <v>274</v>
      </c>
      <c r="AF3" s="644" t="s">
        <v>1074</v>
      </c>
      <c r="AG3" s="644" t="s">
        <v>1546</v>
      </c>
      <c r="AH3" s="644" t="s">
        <v>274</v>
      </c>
      <c r="AI3" s="644" t="s">
        <v>1074</v>
      </c>
      <c r="AJ3" s="644" t="s">
        <v>1546</v>
      </c>
      <c r="AK3" s="644" t="s">
        <v>274</v>
      </c>
      <c r="AL3" s="644" t="s">
        <v>1074</v>
      </c>
      <c r="AM3" s="644" t="s">
        <v>1546</v>
      </c>
      <c r="AN3" s="644" t="s">
        <v>274</v>
      </c>
      <c r="AO3" s="644" t="s">
        <v>1074</v>
      </c>
      <c r="AP3" s="644" t="s">
        <v>1546</v>
      </c>
      <c r="AQ3" s="644" t="s">
        <v>274</v>
      </c>
      <c r="AR3" s="644" t="s">
        <v>1074</v>
      </c>
      <c r="AS3" s="644" t="s">
        <v>1546</v>
      </c>
      <c r="AT3" s="644" t="s">
        <v>274</v>
      </c>
      <c r="AU3" s="644" t="s">
        <v>1074</v>
      </c>
      <c r="AV3" s="644" t="s">
        <v>1546</v>
      </c>
      <c r="AW3" s="644" t="s">
        <v>274</v>
      </c>
      <c r="AX3" s="644" t="s">
        <v>1074</v>
      </c>
      <c r="AY3" s="644" t="s">
        <v>1546</v>
      </c>
      <c r="AZ3" s="644" t="s">
        <v>274</v>
      </c>
      <c r="BA3" s="644" t="s">
        <v>1074</v>
      </c>
      <c r="BB3" s="644" t="s">
        <v>1546</v>
      </c>
      <c r="BC3" s="644" t="s">
        <v>274</v>
      </c>
      <c r="BD3" s="644" t="s">
        <v>1074</v>
      </c>
      <c r="BE3" s="644" t="s">
        <v>1546</v>
      </c>
      <c r="BF3" s="644" t="s">
        <v>274</v>
      </c>
      <c r="BG3" s="644" t="s">
        <v>1074</v>
      </c>
      <c r="BH3" s="644" t="s">
        <v>1546</v>
      </c>
      <c r="BI3" s="644" t="s">
        <v>274</v>
      </c>
      <c r="BJ3" s="644" t="s">
        <v>1074</v>
      </c>
      <c r="BK3" s="644" t="s">
        <v>1546</v>
      </c>
    </row>
    <row r="4" spans="1:66" ht="103.5" customHeight="1" x14ac:dyDescent="0.2">
      <c r="A4" s="1034" t="s">
        <v>189</v>
      </c>
      <c r="B4" s="1035" t="s">
        <v>247</v>
      </c>
      <c r="C4" s="1035"/>
      <c r="D4" s="1039" t="s">
        <v>1999</v>
      </c>
      <c r="E4" s="1040"/>
      <c r="F4" s="1041"/>
      <c r="G4" s="1039" t="s">
        <v>2000</v>
      </c>
      <c r="H4" s="1040" t="s">
        <v>417</v>
      </c>
      <c r="I4" s="1041"/>
      <c r="J4" s="1039" t="s">
        <v>2001</v>
      </c>
      <c r="K4" s="1040" t="s">
        <v>788</v>
      </c>
      <c r="L4" s="1041"/>
      <c r="M4" s="1039" t="s">
        <v>2002</v>
      </c>
      <c r="N4" s="1040" t="s">
        <v>340</v>
      </c>
      <c r="O4" s="1041"/>
      <c r="P4" s="1039" t="s">
        <v>143</v>
      </c>
      <c r="Q4" s="1040" t="s">
        <v>143</v>
      </c>
      <c r="R4" s="1041"/>
      <c r="S4" s="1039" t="s">
        <v>2147</v>
      </c>
      <c r="T4" s="1040" t="s">
        <v>345</v>
      </c>
      <c r="U4" s="1041"/>
      <c r="V4" s="1039" t="s">
        <v>2147</v>
      </c>
      <c r="W4" s="1040" t="s">
        <v>144</v>
      </c>
      <c r="X4" s="1041"/>
      <c r="Y4" s="1039" t="s">
        <v>2019</v>
      </c>
      <c r="Z4" s="1040" t="s">
        <v>462</v>
      </c>
      <c r="AA4" s="1041"/>
      <c r="AB4" s="1039" t="s">
        <v>145</v>
      </c>
      <c r="AC4" s="1040" t="s">
        <v>145</v>
      </c>
      <c r="AD4" s="1041"/>
      <c r="AE4" s="1039" t="s">
        <v>136</v>
      </c>
      <c r="AF4" s="1040" t="s">
        <v>136</v>
      </c>
      <c r="AG4" s="1041"/>
      <c r="AH4" s="1039" t="s">
        <v>2020</v>
      </c>
      <c r="AI4" s="1040" t="s">
        <v>137</v>
      </c>
      <c r="AJ4" s="1041"/>
      <c r="AK4" s="1039" t="s">
        <v>2021</v>
      </c>
      <c r="AL4" s="1040" t="s">
        <v>138</v>
      </c>
      <c r="AM4" s="1041"/>
      <c r="AN4" s="1039" t="s">
        <v>176</v>
      </c>
      <c r="AO4" s="1040" t="s">
        <v>176</v>
      </c>
      <c r="AP4" s="1041"/>
      <c r="AQ4" s="1039" t="s">
        <v>176</v>
      </c>
      <c r="AR4" s="1040" t="s">
        <v>176</v>
      </c>
      <c r="AS4" s="1041"/>
      <c r="AT4" s="1039" t="s">
        <v>176</v>
      </c>
      <c r="AU4" s="1040" t="s">
        <v>176</v>
      </c>
      <c r="AV4" s="1041"/>
      <c r="AW4" s="1039" t="s">
        <v>2022</v>
      </c>
      <c r="AX4" s="1040" t="s">
        <v>409</v>
      </c>
      <c r="AY4" s="1041"/>
      <c r="AZ4" s="1039" t="s">
        <v>181</v>
      </c>
      <c r="BA4" s="1040" t="s">
        <v>181</v>
      </c>
      <c r="BB4" s="1041"/>
      <c r="BC4" s="1039" t="s">
        <v>2023</v>
      </c>
      <c r="BD4" s="1040" t="s">
        <v>789</v>
      </c>
      <c r="BE4" s="1041"/>
      <c r="BF4" s="1039" t="s">
        <v>1559</v>
      </c>
      <c r="BG4" s="1040" t="s">
        <v>417</v>
      </c>
      <c r="BH4" s="1041"/>
      <c r="BI4" s="1042" t="s">
        <v>135</v>
      </c>
      <c r="BJ4" s="1043"/>
      <c r="BK4" s="1044"/>
    </row>
    <row r="5" spans="1:66" ht="25.5" customHeight="1" x14ac:dyDescent="0.2">
      <c r="A5" s="1034"/>
      <c r="B5" s="1035" t="s">
        <v>11</v>
      </c>
      <c r="C5" s="1035"/>
      <c r="D5" s="1039" t="s">
        <v>225</v>
      </c>
      <c r="E5" s="1040"/>
      <c r="F5" s="1041"/>
      <c r="G5" s="1039" t="s">
        <v>225</v>
      </c>
      <c r="H5" s="1040" t="s">
        <v>225</v>
      </c>
      <c r="I5" s="1041"/>
      <c r="J5" s="1039" t="s">
        <v>225</v>
      </c>
      <c r="K5" s="1040" t="s">
        <v>225</v>
      </c>
      <c r="L5" s="1041"/>
      <c r="M5" s="1039" t="s">
        <v>226</v>
      </c>
      <c r="N5" s="1040" t="s">
        <v>226</v>
      </c>
      <c r="O5" s="1041"/>
      <c r="P5" s="1039" t="s">
        <v>226</v>
      </c>
      <c r="Q5" s="1040" t="s">
        <v>226</v>
      </c>
      <c r="R5" s="1041"/>
      <c r="S5" s="1039" t="s">
        <v>225</v>
      </c>
      <c r="T5" s="1040" t="s">
        <v>225</v>
      </c>
      <c r="U5" s="1041"/>
      <c r="V5" s="1039" t="s">
        <v>225</v>
      </c>
      <c r="W5" s="1040" t="s">
        <v>225</v>
      </c>
      <c r="X5" s="1041"/>
      <c r="Y5" s="1039" t="s">
        <v>226</v>
      </c>
      <c r="Z5" s="1040" t="s">
        <v>226</v>
      </c>
      <c r="AA5" s="1041"/>
      <c r="AB5" s="1039" t="s">
        <v>226</v>
      </c>
      <c r="AC5" s="1040" t="s">
        <v>226</v>
      </c>
      <c r="AD5" s="1041"/>
      <c r="AE5" s="1039" t="s">
        <v>226</v>
      </c>
      <c r="AF5" s="1040" t="s">
        <v>226</v>
      </c>
      <c r="AG5" s="1041"/>
      <c r="AH5" s="1039" t="s">
        <v>225</v>
      </c>
      <c r="AI5" s="1040" t="s">
        <v>225</v>
      </c>
      <c r="AJ5" s="1041"/>
      <c r="AK5" s="1039" t="s">
        <v>225</v>
      </c>
      <c r="AL5" s="1040" t="s">
        <v>225</v>
      </c>
      <c r="AM5" s="1041"/>
      <c r="AN5" s="1039" t="s">
        <v>225</v>
      </c>
      <c r="AO5" s="1040" t="s">
        <v>225</v>
      </c>
      <c r="AP5" s="1041"/>
      <c r="AQ5" s="1039" t="s">
        <v>225</v>
      </c>
      <c r="AR5" s="1040" t="s">
        <v>225</v>
      </c>
      <c r="AS5" s="1041"/>
      <c r="AT5" s="1039" t="s">
        <v>225</v>
      </c>
      <c r="AU5" s="1040" t="s">
        <v>225</v>
      </c>
      <c r="AV5" s="1041"/>
      <c r="AW5" s="1039" t="s">
        <v>225</v>
      </c>
      <c r="AX5" s="1040" t="s">
        <v>225</v>
      </c>
      <c r="AY5" s="1041"/>
      <c r="AZ5" s="1039" t="s">
        <v>225</v>
      </c>
      <c r="BA5" s="1040" t="s">
        <v>225</v>
      </c>
      <c r="BB5" s="1041"/>
      <c r="BC5" s="1039" t="s">
        <v>225</v>
      </c>
      <c r="BD5" s="1040" t="s">
        <v>225</v>
      </c>
      <c r="BE5" s="1041"/>
      <c r="BF5" s="1039" t="s">
        <v>225</v>
      </c>
      <c r="BG5" s="1040" t="s">
        <v>225</v>
      </c>
      <c r="BH5" s="1041"/>
      <c r="BI5" s="1045"/>
      <c r="BJ5" s="1046"/>
      <c r="BK5" s="1047"/>
    </row>
    <row r="6" spans="1:66" ht="15.75" customHeight="1" x14ac:dyDescent="0.2">
      <c r="A6" s="1034"/>
      <c r="B6" s="992" t="s">
        <v>646</v>
      </c>
      <c r="C6" s="992"/>
      <c r="D6" s="1051" t="s">
        <v>1991</v>
      </c>
      <c r="E6" s="1052"/>
      <c r="F6" s="1053"/>
      <c r="G6" s="1051" t="s">
        <v>2003</v>
      </c>
      <c r="H6" s="1052" t="s">
        <v>574</v>
      </c>
      <c r="I6" s="1053"/>
      <c r="J6" s="1051" t="s">
        <v>2004</v>
      </c>
      <c r="K6" s="1052" t="s">
        <v>1161</v>
      </c>
      <c r="L6" s="1053"/>
      <c r="M6" s="1051" t="s">
        <v>2005</v>
      </c>
      <c r="N6" s="1052" t="s">
        <v>344</v>
      </c>
      <c r="O6" s="1053"/>
      <c r="P6" s="1051" t="s">
        <v>2006</v>
      </c>
      <c r="Q6" s="1052" t="s">
        <v>343</v>
      </c>
      <c r="R6" s="1053"/>
      <c r="S6" s="1051" t="s">
        <v>2007</v>
      </c>
      <c r="T6" s="1052" t="s">
        <v>1162</v>
      </c>
      <c r="U6" s="1053"/>
      <c r="V6" s="1051" t="s">
        <v>2008</v>
      </c>
      <c r="W6" s="1052" t="s">
        <v>1163</v>
      </c>
      <c r="X6" s="1053"/>
      <c r="Y6" s="1051" t="s">
        <v>2009</v>
      </c>
      <c r="Z6" s="1052" t="s">
        <v>342</v>
      </c>
      <c r="AA6" s="1053"/>
      <c r="AB6" s="1051" t="s">
        <v>2010</v>
      </c>
      <c r="AC6" s="1052" t="s">
        <v>341</v>
      </c>
      <c r="AD6" s="1053"/>
      <c r="AE6" s="1051" t="s">
        <v>139</v>
      </c>
      <c r="AF6" s="1052" t="s">
        <v>139</v>
      </c>
      <c r="AG6" s="1053"/>
      <c r="AH6" s="1051" t="s">
        <v>2011</v>
      </c>
      <c r="AI6" s="1052" t="s">
        <v>140</v>
      </c>
      <c r="AJ6" s="1053"/>
      <c r="AK6" s="1051" t="s">
        <v>2012</v>
      </c>
      <c r="AL6" s="1052" t="s">
        <v>141</v>
      </c>
      <c r="AM6" s="1053"/>
      <c r="AN6" s="1051" t="s">
        <v>2013</v>
      </c>
      <c r="AO6" s="1052" t="s">
        <v>386</v>
      </c>
      <c r="AP6" s="1053"/>
      <c r="AQ6" s="1051" t="s">
        <v>2014</v>
      </c>
      <c r="AR6" s="1052" t="s">
        <v>1164</v>
      </c>
      <c r="AS6" s="1053"/>
      <c r="AT6" s="1051" t="s">
        <v>2015</v>
      </c>
      <c r="AU6" s="1052" t="s">
        <v>387</v>
      </c>
      <c r="AV6" s="1053"/>
      <c r="AW6" s="1051" t="s">
        <v>2016</v>
      </c>
      <c r="AX6" s="1052" t="s">
        <v>142</v>
      </c>
      <c r="AY6" s="1053"/>
      <c r="AZ6" s="1051" t="s">
        <v>2017</v>
      </c>
      <c r="BA6" s="1052" t="s">
        <v>1165</v>
      </c>
      <c r="BB6" s="1053"/>
      <c r="BC6" s="1051" t="s">
        <v>2018</v>
      </c>
      <c r="BD6" s="1052" t="s">
        <v>1166</v>
      </c>
      <c r="BE6" s="1053"/>
      <c r="BF6" s="1051" t="s">
        <v>173</v>
      </c>
      <c r="BG6" s="1052" t="s">
        <v>173</v>
      </c>
      <c r="BH6" s="1053"/>
      <c r="BI6" s="1045"/>
      <c r="BJ6" s="1046"/>
      <c r="BK6" s="1047"/>
    </row>
    <row r="7" spans="1:66" ht="68.25" customHeight="1" x14ac:dyDescent="0.2">
      <c r="A7" s="1034"/>
      <c r="B7" s="684" t="s">
        <v>190</v>
      </c>
      <c r="C7" s="126" t="s">
        <v>248</v>
      </c>
      <c r="D7" s="1054"/>
      <c r="E7" s="1055"/>
      <c r="F7" s="1056"/>
      <c r="G7" s="1054"/>
      <c r="H7" s="1055"/>
      <c r="I7" s="1056"/>
      <c r="J7" s="1054"/>
      <c r="K7" s="1055"/>
      <c r="L7" s="1056"/>
      <c r="M7" s="1054"/>
      <c r="N7" s="1055"/>
      <c r="O7" s="1056"/>
      <c r="P7" s="1054"/>
      <c r="Q7" s="1055"/>
      <c r="R7" s="1056"/>
      <c r="S7" s="1054"/>
      <c r="T7" s="1055"/>
      <c r="U7" s="1056"/>
      <c r="V7" s="1054"/>
      <c r="W7" s="1055"/>
      <c r="X7" s="1056"/>
      <c r="Y7" s="1054"/>
      <c r="Z7" s="1055"/>
      <c r="AA7" s="1056"/>
      <c r="AB7" s="1054"/>
      <c r="AC7" s="1055"/>
      <c r="AD7" s="1056"/>
      <c r="AE7" s="1054"/>
      <c r="AF7" s="1055"/>
      <c r="AG7" s="1056"/>
      <c r="AH7" s="1054"/>
      <c r="AI7" s="1055"/>
      <c r="AJ7" s="1056"/>
      <c r="AK7" s="1054"/>
      <c r="AL7" s="1055"/>
      <c r="AM7" s="1056"/>
      <c r="AN7" s="1054"/>
      <c r="AO7" s="1055"/>
      <c r="AP7" s="1056"/>
      <c r="AQ7" s="1054"/>
      <c r="AR7" s="1055"/>
      <c r="AS7" s="1056"/>
      <c r="AT7" s="1054"/>
      <c r="AU7" s="1055"/>
      <c r="AV7" s="1056"/>
      <c r="AW7" s="1054"/>
      <c r="AX7" s="1055"/>
      <c r="AY7" s="1056"/>
      <c r="AZ7" s="1054"/>
      <c r="BA7" s="1055"/>
      <c r="BB7" s="1056"/>
      <c r="BC7" s="1054"/>
      <c r="BD7" s="1055"/>
      <c r="BE7" s="1056"/>
      <c r="BF7" s="1054"/>
      <c r="BG7" s="1055"/>
      <c r="BH7" s="1056"/>
      <c r="BI7" s="1048"/>
      <c r="BJ7" s="1049"/>
      <c r="BK7" s="1050"/>
    </row>
    <row r="8" spans="1:66" ht="15.75" x14ac:dyDescent="0.2">
      <c r="A8" s="23" t="s">
        <v>191</v>
      </c>
      <c r="B8" s="24" t="s">
        <v>192</v>
      </c>
      <c r="C8" s="24" t="s">
        <v>193</v>
      </c>
      <c r="D8" s="301" t="s">
        <v>194</v>
      </c>
      <c r="E8" s="24" t="s">
        <v>195</v>
      </c>
      <c r="F8" s="301" t="s">
        <v>196</v>
      </c>
      <c r="G8" s="24" t="s">
        <v>197</v>
      </c>
      <c r="H8" s="301" t="s">
        <v>198</v>
      </c>
      <c r="I8" s="24" t="s">
        <v>199</v>
      </c>
      <c r="J8" s="301" t="s">
        <v>200</v>
      </c>
      <c r="K8" s="24" t="s">
        <v>201</v>
      </c>
      <c r="L8" s="301" t="s">
        <v>228</v>
      </c>
      <c r="M8" s="24" t="s">
        <v>229</v>
      </c>
      <c r="N8" s="301" t="s">
        <v>230</v>
      </c>
      <c r="O8" s="24" t="s">
        <v>231</v>
      </c>
      <c r="P8" s="301" t="s">
        <v>232</v>
      </c>
      <c r="Q8" s="24" t="s">
        <v>233</v>
      </c>
      <c r="R8" s="301" t="s">
        <v>234</v>
      </c>
      <c r="S8" s="24" t="s">
        <v>235</v>
      </c>
      <c r="T8" s="301" t="s">
        <v>236</v>
      </c>
      <c r="U8" s="24" t="s">
        <v>261</v>
      </c>
      <c r="V8" s="301" t="s">
        <v>262</v>
      </c>
      <c r="W8" s="24" t="s">
        <v>263</v>
      </c>
      <c r="X8" s="301" t="s">
        <v>264</v>
      </c>
      <c r="Y8" s="24" t="s">
        <v>265</v>
      </c>
      <c r="Z8" s="301" t="s">
        <v>266</v>
      </c>
      <c r="AA8" s="24" t="s">
        <v>267</v>
      </c>
      <c r="AB8" s="301" t="s">
        <v>268</v>
      </c>
      <c r="AC8" s="24" t="s">
        <v>269</v>
      </c>
      <c r="AD8" s="301" t="s">
        <v>270</v>
      </c>
      <c r="AE8" s="24" t="s">
        <v>271</v>
      </c>
      <c r="AF8" s="301" t="s">
        <v>272</v>
      </c>
      <c r="AG8" s="24" t="s">
        <v>273</v>
      </c>
      <c r="AH8" s="301" t="s">
        <v>277</v>
      </c>
      <c r="AI8" s="24" t="s">
        <v>278</v>
      </c>
      <c r="AJ8" s="301" t="s">
        <v>279</v>
      </c>
      <c r="AK8" s="24" t="s">
        <v>280</v>
      </c>
      <c r="AL8" s="301" t="s">
        <v>281</v>
      </c>
      <c r="AM8" s="24" t="s">
        <v>282</v>
      </c>
      <c r="AN8" s="301" t="s">
        <v>283</v>
      </c>
      <c r="AO8" s="24" t="s">
        <v>284</v>
      </c>
      <c r="AP8" s="301" t="s">
        <v>285</v>
      </c>
      <c r="AQ8" s="24" t="s">
        <v>286</v>
      </c>
      <c r="AR8" s="301" t="s">
        <v>287</v>
      </c>
      <c r="AS8" s="24" t="s">
        <v>288</v>
      </c>
      <c r="AT8" s="301" t="s">
        <v>289</v>
      </c>
      <c r="AU8" s="24" t="s">
        <v>290</v>
      </c>
      <c r="AV8" s="301" t="s">
        <v>291</v>
      </c>
      <c r="AW8" s="24" t="s">
        <v>292</v>
      </c>
      <c r="AX8" s="301" t="s">
        <v>293</v>
      </c>
      <c r="AY8" s="24" t="s">
        <v>294</v>
      </c>
      <c r="AZ8" s="301" t="s">
        <v>295</v>
      </c>
      <c r="BA8" s="24" t="s">
        <v>662</v>
      </c>
      <c r="BB8" s="301" t="s">
        <v>296</v>
      </c>
      <c r="BC8" s="24" t="s">
        <v>663</v>
      </c>
      <c r="BD8" s="301" t="s">
        <v>297</v>
      </c>
      <c r="BE8" s="24" t="s">
        <v>298</v>
      </c>
      <c r="BF8" s="301" t="s">
        <v>299</v>
      </c>
      <c r="BG8" s="24" t="s">
        <v>300</v>
      </c>
      <c r="BH8" s="301" t="s">
        <v>301</v>
      </c>
      <c r="BI8" s="24" t="s">
        <v>302</v>
      </c>
      <c r="BJ8" s="301" t="s">
        <v>303</v>
      </c>
      <c r="BK8" s="24" t="s">
        <v>304</v>
      </c>
      <c r="BL8" s="118" t="s">
        <v>2063</v>
      </c>
      <c r="BM8" s="118" t="s">
        <v>2064</v>
      </c>
    </row>
    <row r="9" spans="1:66" ht="21.75" customHeight="1" x14ac:dyDescent="0.25">
      <c r="A9" s="25" t="s">
        <v>191</v>
      </c>
      <c r="B9" s="22" t="s">
        <v>330</v>
      </c>
      <c r="C9" s="26" t="s">
        <v>202</v>
      </c>
      <c r="D9" s="167"/>
      <c r="E9" s="167"/>
      <c r="F9" s="167"/>
      <c r="G9" s="167">
        <f>+(81888342)+28189</f>
        <v>81916531</v>
      </c>
      <c r="H9" s="167">
        <v>80240781</v>
      </c>
      <c r="I9" s="167">
        <v>60330016</v>
      </c>
      <c r="J9" s="167">
        <v>6368271</v>
      </c>
      <c r="K9" s="167">
        <v>7035879</v>
      </c>
      <c r="L9" s="167">
        <v>6330733</v>
      </c>
      <c r="M9" s="167">
        <v>22313568</v>
      </c>
      <c r="N9" s="167">
        <v>24842718</v>
      </c>
      <c r="O9" s="167">
        <v>23876581</v>
      </c>
      <c r="P9" s="167">
        <v>15949313</v>
      </c>
      <c r="Q9" s="167">
        <f>15949313-80000+80000+100000-150786+150786-337274+337274</f>
        <v>16049313</v>
      </c>
      <c r="R9" s="167">
        <v>15134430</v>
      </c>
      <c r="S9" s="167"/>
      <c r="T9" s="167"/>
      <c r="U9" s="167"/>
      <c r="V9" s="167"/>
      <c r="W9" s="167"/>
      <c r="X9" s="167"/>
      <c r="Y9" s="167">
        <v>3075348</v>
      </c>
      <c r="Z9" s="167">
        <v>4135348</v>
      </c>
      <c r="AA9" s="167">
        <v>3715544</v>
      </c>
      <c r="AB9" s="167">
        <v>14095388</v>
      </c>
      <c r="AC9" s="167">
        <f>14095388-1368+1368-7182+7182-6840+6840-7182+7182+200000-6498+6498-7524+7524</f>
        <v>14295388</v>
      </c>
      <c r="AD9" s="167">
        <v>11255890</v>
      </c>
      <c r="AE9" s="167">
        <v>15390155</v>
      </c>
      <c r="AF9" s="167">
        <f>15390155+200000</f>
        <v>15590155</v>
      </c>
      <c r="AG9" s="167">
        <v>11964175</v>
      </c>
      <c r="AH9" s="167">
        <v>85779990</v>
      </c>
      <c r="AI9" s="167">
        <f>85779990-83190+78931+4259-6174+6174-5430+5430-6324+6324+1000000-5442+5442-17549+17549-72264+6318+49676+16270</f>
        <v>86779990</v>
      </c>
      <c r="AJ9" s="167">
        <v>73694868</v>
      </c>
      <c r="AK9" s="167">
        <v>21358349</v>
      </c>
      <c r="AL9" s="167">
        <f>21358349+300000</f>
        <v>21658349</v>
      </c>
      <c r="AM9" s="167">
        <v>19405030</v>
      </c>
      <c r="AN9" s="167"/>
      <c r="AO9" s="167"/>
      <c r="AP9" s="167"/>
      <c r="AQ9" s="167">
        <v>5674872</v>
      </c>
      <c r="AR9" s="167">
        <v>6114872</v>
      </c>
      <c r="AS9" s="167">
        <v>5519800</v>
      </c>
      <c r="AT9" s="167"/>
      <c r="AU9" s="167"/>
      <c r="AV9" s="167"/>
      <c r="AW9" s="167"/>
      <c r="AX9" s="167"/>
      <c r="AY9" s="167"/>
      <c r="AZ9" s="167"/>
      <c r="BA9" s="167"/>
      <c r="BB9" s="167"/>
      <c r="BC9" s="167"/>
      <c r="BD9" s="167"/>
      <c r="BE9" s="167"/>
      <c r="BF9" s="167"/>
      <c r="BG9" s="167"/>
      <c r="BH9" s="167"/>
      <c r="BI9" s="167">
        <f t="shared" ref="BI9:BI50" si="0">D9+G9+J9+M9+P9+S9+V9+Y9+AB9+AE9+AH9+AN9+AK9+AQ9+AT9+AW9+AZ9+BF9+BC9</f>
        <v>271921785</v>
      </c>
      <c r="BJ9" s="167">
        <f t="shared" ref="BJ9:BK50" si="1">E9+H9+K9+N9+Q9+T9+W9+Z9+AC9+AF9+AI9+AO9+AL9+AR9+AU9+AX9+BA9+BG9+BD9</f>
        <v>276742793</v>
      </c>
      <c r="BK9" s="167">
        <f t="shared" si="1"/>
        <v>231227067</v>
      </c>
      <c r="BL9" s="80">
        <f>+F9+I9+L9+U9+X9+AJ9+AM9+AP9+AS9+AV9+AY9+BB9+BE9+BH9</f>
        <v>165280447</v>
      </c>
      <c r="BM9" s="80">
        <f>+O9+R9+AA9+AD9+AG9</f>
        <v>65946620</v>
      </c>
      <c r="BN9" s="80">
        <f>+BM9+BL9-BK9</f>
        <v>0</v>
      </c>
    </row>
    <row r="10" spans="1:66" ht="21.75" customHeight="1" x14ac:dyDescent="0.25">
      <c r="A10" s="25" t="s">
        <v>192</v>
      </c>
      <c r="B10" s="27" t="s">
        <v>203</v>
      </c>
      <c r="C10" s="26" t="s">
        <v>204</v>
      </c>
      <c r="D10" s="167"/>
      <c r="E10" s="167"/>
      <c r="F10" s="167"/>
      <c r="G10" s="167">
        <f>11030486+1400000</f>
        <v>12430486</v>
      </c>
      <c r="H10" s="167">
        <v>12272845</v>
      </c>
      <c r="I10" s="167">
        <v>9401443</v>
      </c>
      <c r="J10" s="167">
        <v>862875</v>
      </c>
      <c r="K10" s="167">
        <f>862875+13000</f>
        <v>875875</v>
      </c>
      <c r="L10" s="167">
        <v>858368</v>
      </c>
      <c r="M10" s="167">
        <v>2920764</v>
      </c>
      <c r="N10" s="167">
        <v>3289066</v>
      </c>
      <c r="O10" s="167">
        <v>3289066</v>
      </c>
      <c r="P10" s="167">
        <v>2143411</v>
      </c>
      <c r="Q10" s="167">
        <f>2143411+13000</f>
        <v>2156411</v>
      </c>
      <c r="R10" s="167">
        <v>1946514</v>
      </c>
      <c r="S10" s="167"/>
      <c r="T10" s="167"/>
      <c r="U10" s="167"/>
      <c r="V10" s="167"/>
      <c r="W10" s="167"/>
      <c r="X10" s="167"/>
      <c r="Y10" s="167">
        <v>434795</v>
      </c>
      <c r="Z10" s="167">
        <v>467884</v>
      </c>
      <c r="AA10" s="167">
        <v>460322</v>
      </c>
      <c r="AB10" s="167">
        <v>1902400</v>
      </c>
      <c r="AC10" s="167">
        <f>1902400+26000</f>
        <v>1928400</v>
      </c>
      <c r="AD10" s="167">
        <v>1532017</v>
      </c>
      <c r="AE10" s="167">
        <v>2210720</v>
      </c>
      <c r="AF10" s="167">
        <f>2210720+26000</f>
        <v>2236720</v>
      </c>
      <c r="AG10" s="167">
        <v>1539033</v>
      </c>
      <c r="AH10" s="167">
        <v>11536399</v>
      </c>
      <c r="AI10" s="167">
        <f>11536399+130000</f>
        <v>11666399</v>
      </c>
      <c r="AJ10" s="167">
        <v>9999520</v>
      </c>
      <c r="AK10" s="167">
        <v>2881585</v>
      </c>
      <c r="AL10" s="167">
        <f>2881585+39000</f>
        <v>2920585</v>
      </c>
      <c r="AM10" s="167">
        <v>2672215</v>
      </c>
      <c r="AN10" s="167"/>
      <c r="AO10" s="167"/>
      <c r="AP10" s="167"/>
      <c r="AQ10" s="167">
        <v>772733</v>
      </c>
      <c r="AR10" s="167">
        <f>772733+13000</f>
        <v>785733</v>
      </c>
      <c r="AS10" s="167">
        <v>756384</v>
      </c>
      <c r="AT10" s="167"/>
      <c r="AU10" s="167"/>
      <c r="AV10" s="167"/>
      <c r="AW10" s="167"/>
      <c r="AX10" s="167"/>
      <c r="AY10" s="167"/>
      <c r="AZ10" s="167"/>
      <c r="BA10" s="167"/>
      <c r="BB10" s="167"/>
      <c r="BC10" s="167"/>
      <c r="BD10" s="167"/>
      <c r="BE10" s="167"/>
      <c r="BF10" s="167"/>
      <c r="BG10" s="167"/>
      <c r="BH10" s="167"/>
      <c r="BI10" s="167">
        <f t="shared" si="0"/>
        <v>38096168</v>
      </c>
      <c r="BJ10" s="167">
        <f t="shared" si="1"/>
        <v>38599918</v>
      </c>
      <c r="BK10" s="167">
        <f t="shared" si="1"/>
        <v>32454882</v>
      </c>
      <c r="BL10" s="80">
        <f t="shared" ref="BL10:BL51" si="2">+F10+I10+L10+U10+X10+AJ10+AM10+AP10+AS10+AV10+AY10+BB10+BE10+BH10</f>
        <v>23687930</v>
      </c>
      <c r="BM10" s="80">
        <f t="shared" ref="BM10:BM51" si="3">+O10+R10+AA10+AD10+AG10</f>
        <v>8766952</v>
      </c>
      <c r="BN10" s="80">
        <f t="shared" ref="BN10:BN51" si="4">+BM10+BL10-BK10</f>
        <v>0</v>
      </c>
    </row>
    <row r="11" spans="1:66" s="234" customFormat="1" ht="21.75" customHeight="1" x14ac:dyDescent="0.25">
      <c r="A11" s="231" t="s">
        <v>193</v>
      </c>
      <c r="B11" s="232" t="s">
        <v>331</v>
      </c>
      <c r="C11" s="235" t="s">
        <v>205</v>
      </c>
      <c r="D11" s="169">
        <v>31791958</v>
      </c>
      <c r="E11" s="169">
        <f>31791958-31791958</f>
        <v>0</v>
      </c>
      <c r="F11" s="169"/>
      <c r="G11" s="169">
        <f>+(27346950)+725235+521619</f>
        <v>28593804</v>
      </c>
      <c r="H11" s="169">
        <v>33892303</v>
      </c>
      <c r="I11" s="169">
        <v>26665277</v>
      </c>
      <c r="J11" s="169">
        <f>+(40703500)+1232633+442722</f>
        <v>42378855</v>
      </c>
      <c r="K11" s="169">
        <v>45233490</v>
      </c>
      <c r="L11" s="169">
        <v>28500697</v>
      </c>
      <c r="M11" s="169">
        <v>790550</v>
      </c>
      <c r="N11" s="169">
        <v>802042</v>
      </c>
      <c r="O11" s="169">
        <v>348192</v>
      </c>
      <c r="P11" s="169">
        <v>2622550</v>
      </c>
      <c r="Q11" s="169">
        <v>2770690</v>
      </c>
      <c r="R11" s="169">
        <v>2026036</v>
      </c>
      <c r="S11" s="169">
        <f>+(29469000)+2595+365008</f>
        <v>29836603</v>
      </c>
      <c r="T11" s="169">
        <v>38936078</v>
      </c>
      <c r="U11" s="169">
        <v>30167468</v>
      </c>
      <c r="V11" s="169">
        <f>+(13423500)+42593+7758</f>
        <v>13473851</v>
      </c>
      <c r="W11" s="169">
        <v>19623135</v>
      </c>
      <c r="X11" s="169">
        <v>15136414</v>
      </c>
      <c r="Y11" s="169">
        <f>+(14503240)+856848+153201</f>
        <v>15513289</v>
      </c>
      <c r="Z11" s="169">
        <v>16360059</v>
      </c>
      <c r="AA11" s="169">
        <v>11312566</v>
      </c>
      <c r="AB11" s="169">
        <f>+(24380800)+5196+88732</f>
        <v>24474728</v>
      </c>
      <c r="AC11" s="169">
        <v>24728728</v>
      </c>
      <c r="AD11" s="169">
        <v>6893024</v>
      </c>
      <c r="AE11" s="169">
        <f>+(3300400)+5191</f>
        <v>3305591</v>
      </c>
      <c r="AF11" s="169">
        <f>+(3300400)+5191</f>
        <v>3305591</v>
      </c>
      <c r="AG11" s="169">
        <v>1375481</v>
      </c>
      <c r="AH11" s="169">
        <f>+(19326600)+23363+2725</f>
        <v>19352688</v>
      </c>
      <c r="AI11" s="169">
        <v>41585088</v>
      </c>
      <c r="AJ11" s="169">
        <v>14216304</v>
      </c>
      <c r="AK11" s="169">
        <f>+(5763700)+7791</f>
        <v>5771491</v>
      </c>
      <c r="AL11" s="169">
        <f>+(5763700)+7791+189865-78740-21260+100000-86606-5736</f>
        <v>5869014</v>
      </c>
      <c r="AM11" s="169">
        <v>4201787</v>
      </c>
      <c r="AN11" s="169">
        <f>+(204906477)+4281668</f>
        <v>209188145</v>
      </c>
      <c r="AO11" s="169">
        <v>227468690</v>
      </c>
      <c r="AP11" s="169">
        <v>200737609</v>
      </c>
      <c r="AQ11" s="169">
        <f>+(293200676)+48300+6194377</f>
        <v>299443353</v>
      </c>
      <c r="AR11" s="169">
        <v>365915000</v>
      </c>
      <c r="AS11" s="169">
        <v>258156262</v>
      </c>
      <c r="AT11" s="169">
        <f>+(15575064)+1177+390471</f>
        <v>15966712</v>
      </c>
      <c r="AU11" s="169">
        <v>25815149</v>
      </c>
      <c r="AV11" s="169">
        <v>16186349</v>
      </c>
      <c r="AW11" s="169">
        <f>+(11521280)+87549</f>
        <v>11608829</v>
      </c>
      <c r="AX11" s="169">
        <v>11832947</v>
      </c>
      <c r="AY11" s="169">
        <v>2833975</v>
      </c>
      <c r="AZ11" s="169"/>
      <c r="BA11" s="169"/>
      <c r="BB11" s="169"/>
      <c r="BC11" s="169">
        <v>2159000</v>
      </c>
      <c r="BD11" s="169">
        <v>2801370</v>
      </c>
      <c r="BE11" s="169">
        <v>2801370</v>
      </c>
      <c r="BF11" s="169">
        <f>+(6350100)+1176+80798</f>
        <v>6432074</v>
      </c>
      <c r="BG11" s="169">
        <v>15653064</v>
      </c>
      <c r="BH11" s="169">
        <v>13541494</v>
      </c>
      <c r="BI11" s="167">
        <f t="shared" si="0"/>
        <v>762704071</v>
      </c>
      <c r="BJ11" s="167">
        <f t="shared" si="1"/>
        <v>882592438</v>
      </c>
      <c r="BK11" s="167">
        <f t="shared" si="1"/>
        <v>635100305</v>
      </c>
      <c r="BL11" s="80">
        <f t="shared" si="2"/>
        <v>613145006</v>
      </c>
      <c r="BM11" s="80">
        <f t="shared" si="3"/>
        <v>21955299</v>
      </c>
      <c r="BN11" s="80">
        <f t="shared" si="4"/>
        <v>0</v>
      </c>
    </row>
    <row r="12" spans="1:66" ht="21.75" customHeight="1" x14ac:dyDescent="0.25">
      <c r="A12" s="25" t="s">
        <v>194</v>
      </c>
      <c r="B12" s="28" t="s">
        <v>332</v>
      </c>
      <c r="C12" s="26" t="s">
        <v>206</v>
      </c>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f t="shared" si="0"/>
        <v>0</v>
      </c>
      <c r="BJ12" s="167">
        <f t="shared" si="1"/>
        <v>0</v>
      </c>
      <c r="BK12" s="167">
        <f t="shared" si="1"/>
        <v>0</v>
      </c>
      <c r="BL12" s="80">
        <f t="shared" si="2"/>
        <v>0</v>
      </c>
      <c r="BM12" s="80">
        <f t="shared" si="3"/>
        <v>0</v>
      </c>
      <c r="BN12" s="80">
        <f t="shared" si="4"/>
        <v>0</v>
      </c>
    </row>
    <row r="13" spans="1:66" ht="21.75" customHeight="1" x14ac:dyDescent="0.25">
      <c r="A13" s="25" t="s">
        <v>195</v>
      </c>
      <c r="B13" s="28" t="s">
        <v>237</v>
      </c>
      <c r="C13" s="26" t="s">
        <v>207</v>
      </c>
      <c r="D13" s="167">
        <f>SUM(D14:D16)</f>
        <v>0</v>
      </c>
      <c r="E13" s="167">
        <f t="shared" ref="E13:BK13" si="5">SUM(E14:E16)</f>
        <v>63201781</v>
      </c>
      <c r="F13" s="167">
        <f t="shared" si="5"/>
        <v>63201781</v>
      </c>
      <c r="G13" s="167">
        <f t="shared" si="5"/>
        <v>0</v>
      </c>
      <c r="H13" s="167">
        <f t="shared" si="5"/>
        <v>0</v>
      </c>
      <c r="I13" s="167">
        <f t="shared" si="5"/>
        <v>0</v>
      </c>
      <c r="J13" s="167">
        <f t="shared" si="5"/>
        <v>0</v>
      </c>
      <c r="K13" s="167">
        <f t="shared" si="5"/>
        <v>0</v>
      </c>
      <c r="L13" s="167">
        <f t="shared" si="5"/>
        <v>0</v>
      </c>
      <c r="M13" s="167">
        <f t="shared" si="5"/>
        <v>0</v>
      </c>
      <c r="N13" s="167">
        <f t="shared" si="5"/>
        <v>0</v>
      </c>
      <c r="O13" s="167">
        <f t="shared" si="5"/>
        <v>0</v>
      </c>
      <c r="P13" s="167">
        <f t="shared" si="5"/>
        <v>0</v>
      </c>
      <c r="Q13" s="167">
        <f t="shared" si="5"/>
        <v>0</v>
      </c>
      <c r="R13" s="167">
        <f t="shared" si="5"/>
        <v>0</v>
      </c>
      <c r="S13" s="167">
        <f t="shared" si="5"/>
        <v>0</v>
      </c>
      <c r="T13" s="167">
        <f t="shared" si="5"/>
        <v>0</v>
      </c>
      <c r="U13" s="167">
        <f t="shared" si="5"/>
        <v>0</v>
      </c>
      <c r="V13" s="167">
        <f t="shared" si="5"/>
        <v>0</v>
      </c>
      <c r="W13" s="167">
        <f t="shared" si="5"/>
        <v>0</v>
      </c>
      <c r="X13" s="167">
        <f t="shared" si="5"/>
        <v>0</v>
      </c>
      <c r="Y13" s="167">
        <f t="shared" si="5"/>
        <v>0</v>
      </c>
      <c r="Z13" s="167">
        <f t="shared" si="5"/>
        <v>0</v>
      </c>
      <c r="AA13" s="167">
        <f t="shared" si="5"/>
        <v>0</v>
      </c>
      <c r="AB13" s="167">
        <f t="shared" si="5"/>
        <v>0</v>
      </c>
      <c r="AC13" s="167">
        <f t="shared" si="5"/>
        <v>0</v>
      </c>
      <c r="AD13" s="167">
        <f t="shared" si="5"/>
        <v>0</v>
      </c>
      <c r="AE13" s="167">
        <f t="shared" si="5"/>
        <v>0</v>
      </c>
      <c r="AF13" s="167">
        <f t="shared" si="5"/>
        <v>0</v>
      </c>
      <c r="AG13" s="167">
        <f t="shared" si="5"/>
        <v>0</v>
      </c>
      <c r="AH13" s="167">
        <f t="shared" si="5"/>
        <v>0</v>
      </c>
      <c r="AI13" s="167">
        <f t="shared" si="5"/>
        <v>0</v>
      </c>
      <c r="AJ13" s="167">
        <f t="shared" si="5"/>
        <v>0</v>
      </c>
      <c r="AK13" s="167">
        <f t="shared" si="5"/>
        <v>0</v>
      </c>
      <c r="AL13" s="167">
        <f t="shared" si="5"/>
        <v>0</v>
      </c>
      <c r="AM13" s="167">
        <f t="shared" si="5"/>
        <v>0</v>
      </c>
      <c r="AN13" s="167">
        <f t="shared" si="5"/>
        <v>0</v>
      </c>
      <c r="AO13" s="167">
        <f t="shared" si="5"/>
        <v>0</v>
      </c>
      <c r="AP13" s="167">
        <f t="shared" si="5"/>
        <v>0</v>
      </c>
      <c r="AQ13" s="167">
        <f t="shared" si="5"/>
        <v>0</v>
      </c>
      <c r="AR13" s="167">
        <f t="shared" si="5"/>
        <v>0</v>
      </c>
      <c r="AS13" s="167">
        <f t="shared" si="5"/>
        <v>0</v>
      </c>
      <c r="AT13" s="167">
        <f t="shared" si="5"/>
        <v>0</v>
      </c>
      <c r="AU13" s="167">
        <f t="shared" si="5"/>
        <v>0</v>
      </c>
      <c r="AV13" s="167">
        <f t="shared" si="5"/>
        <v>0</v>
      </c>
      <c r="AW13" s="167">
        <f t="shared" si="5"/>
        <v>0</v>
      </c>
      <c r="AX13" s="167">
        <f t="shared" si="5"/>
        <v>0</v>
      </c>
      <c r="AY13" s="167">
        <f t="shared" si="5"/>
        <v>0</v>
      </c>
      <c r="AZ13" s="167">
        <f t="shared" si="5"/>
        <v>0</v>
      </c>
      <c r="BA13" s="167">
        <f t="shared" si="5"/>
        <v>0</v>
      </c>
      <c r="BB13" s="167">
        <f t="shared" si="5"/>
        <v>0</v>
      </c>
      <c r="BC13" s="167">
        <f t="shared" si="5"/>
        <v>0</v>
      </c>
      <c r="BD13" s="167">
        <f t="shared" si="5"/>
        <v>0</v>
      </c>
      <c r="BE13" s="167">
        <f t="shared" si="5"/>
        <v>0</v>
      </c>
      <c r="BF13" s="167">
        <f t="shared" si="5"/>
        <v>0</v>
      </c>
      <c r="BG13" s="167">
        <f t="shared" si="5"/>
        <v>0</v>
      </c>
      <c r="BH13" s="167">
        <f t="shared" si="5"/>
        <v>0</v>
      </c>
      <c r="BI13" s="167">
        <f t="shared" si="5"/>
        <v>0</v>
      </c>
      <c r="BJ13" s="167">
        <f t="shared" si="5"/>
        <v>63201781</v>
      </c>
      <c r="BK13" s="167">
        <f t="shared" si="5"/>
        <v>63201781</v>
      </c>
      <c r="BL13" s="80">
        <f t="shared" si="2"/>
        <v>63201781</v>
      </c>
      <c r="BM13" s="80">
        <f t="shared" si="3"/>
        <v>0</v>
      </c>
      <c r="BN13" s="80">
        <f t="shared" si="4"/>
        <v>0</v>
      </c>
    </row>
    <row r="14" spans="1:66" ht="21.75" customHeight="1" x14ac:dyDescent="0.25">
      <c r="A14" s="25" t="s">
        <v>196</v>
      </c>
      <c r="B14" s="29" t="s">
        <v>122</v>
      </c>
      <c r="C14" s="26"/>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f t="shared" si="0"/>
        <v>0</v>
      </c>
      <c r="BJ14" s="167">
        <f t="shared" si="1"/>
        <v>0</v>
      </c>
      <c r="BK14" s="167">
        <f t="shared" si="1"/>
        <v>0</v>
      </c>
      <c r="BL14" s="80">
        <f t="shared" si="2"/>
        <v>0</v>
      </c>
      <c r="BM14" s="80">
        <f t="shared" si="3"/>
        <v>0</v>
      </c>
      <c r="BN14" s="80">
        <f t="shared" si="4"/>
        <v>0</v>
      </c>
    </row>
    <row r="15" spans="1:66" ht="21.75" customHeight="1" x14ac:dyDescent="0.25">
      <c r="A15" s="25" t="s">
        <v>197</v>
      </c>
      <c r="B15" s="29" t="s">
        <v>112</v>
      </c>
      <c r="C15" s="30"/>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f t="shared" si="0"/>
        <v>0</v>
      </c>
      <c r="BJ15" s="167">
        <f t="shared" si="1"/>
        <v>0</v>
      </c>
      <c r="BK15" s="167">
        <f t="shared" si="1"/>
        <v>0</v>
      </c>
      <c r="BL15" s="80">
        <f t="shared" si="2"/>
        <v>0</v>
      </c>
      <c r="BM15" s="80">
        <f t="shared" si="3"/>
        <v>0</v>
      </c>
      <c r="BN15" s="80">
        <f t="shared" si="4"/>
        <v>0</v>
      </c>
    </row>
    <row r="16" spans="1:66" ht="21.75" customHeight="1" x14ac:dyDescent="0.25">
      <c r="A16" s="25" t="s">
        <v>198</v>
      </c>
      <c r="B16" s="88" t="s">
        <v>517</v>
      </c>
      <c r="C16" s="30"/>
      <c r="D16" s="167"/>
      <c r="E16" s="167">
        <v>63201781</v>
      </c>
      <c r="F16" s="167">
        <v>63201781</v>
      </c>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f t="shared" si="0"/>
        <v>0</v>
      </c>
      <c r="BJ16" s="167">
        <f t="shared" si="1"/>
        <v>63201781</v>
      </c>
      <c r="BK16" s="167">
        <f t="shared" si="1"/>
        <v>63201781</v>
      </c>
      <c r="BL16" s="80">
        <f t="shared" si="2"/>
        <v>63201781</v>
      </c>
      <c r="BM16" s="80">
        <f t="shared" si="3"/>
        <v>0</v>
      </c>
      <c r="BN16" s="80">
        <f t="shared" si="4"/>
        <v>0</v>
      </c>
    </row>
    <row r="17" spans="1:66" ht="21.75" customHeight="1" x14ac:dyDescent="0.25">
      <c r="A17" s="25" t="s">
        <v>199</v>
      </c>
      <c r="B17" s="31" t="s">
        <v>244</v>
      </c>
      <c r="C17" s="26" t="s">
        <v>208</v>
      </c>
      <c r="D17" s="167"/>
      <c r="E17" s="167"/>
      <c r="F17" s="167"/>
      <c r="G17" s="167">
        <v>5190490</v>
      </c>
      <c r="H17" s="167">
        <v>3290490</v>
      </c>
      <c r="I17" s="167">
        <v>2995770</v>
      </c>
      <c r="J17" s="167">
        <v>381000</v>
      </c>
      <c r="K17" s="167">
        <v>381000</v>
      </c>
      <c r="L17" s="167"/>
      <c r="M17" s="167">
        <v>254000</v>
      </c>
      <c r="N17" s="167">
        <v>254000</v>
      </c>
      <c r="O17" s="167"/>
      <c r="P17" s="167">
        <v>63500</v>
      </c>
      <c r="Q17" s="167">
        <v>63500</v>
      </c>
      <c r="R17" s="167">
        <v>52689</v>
      </c>
      <c r="S17" s="167">
        <v>635000</v>
      </c>
      <c r="T17" s="167">
        <v>801366</v>
      </c>
      <c r="U17" s="167">
        <v>418582</v>
      </c>
      <c r="V17" s="167">
        <v>254000</v>
      </c>
      <c r="W17" s="167">
        <v>364730</v>
      </c>
      <c r="X17" s="167">
        <v>147227</v>
      </c>
      <c r="Y17" s="167">
        <v>635000</v>
      </c>
      <c r="Z17" s="167">
        <v>635000</v>
      </c>
      <c r="AA17" s="167"/>
      <c r="AB17" s="167">
        <v>508000</v>
      </c>
      <c r="AC17" s="167">
        <v>508000</v>
      </c>
      <c r="AD17" s="167"/>
      <c r="AE17" s="167">
        <v>635000</v>
      </c>
      <c r="AF17" s="167">
        <v>635000</v>
      </c>
      <c r="AG17" s="167"/>
      <c r="AH17" s="167">
        <v>698500</v>
      </c>
      <c r="AI17" s="167">
        <v>698500</v>
      </c>
      <c r="AJ17" s="167">
        <v>7290</v>
      </c>
      <c r="AK17" s="167">
        <v>254000</v>
      </c>
      <c r="AL17" s="167">
        <f>254000+86606+5736-16528+16528</f>
        <v>346342</v>
      </c>
      <c r="AM17" s="167">
        <v>287680</v>
      </c>
      <c r="AN17" s="167"/>
      <c r="AO17" s="167"/>
      <c r="AP17" s="167"/>
      <c r="AQ17" s="167">
        <v>508000</v>
      </c>
      <c r="AR17" s="167">
        <v>716280</v>
      </c>
      <c r="AS17" s="167">
        <v>609560</v>
      </c>
      <c r="AT17" s="167"/>
      <c r="AU17" s="167"/>
      <c r="AV17" s="167"/>
      <c r="AW17" s="167"/>
      <c r="AX17" s="167"/>
      <c r="AY17" s="167"/>
      <c r="AZ17" s="167"/>
      <c r="BA17" s="167"/>
      <c r="BB17" s="167"/>
      <c r="BC17" s="167"/>
      <c r="BD17" s="167"/>
      <c r="BE17" s="167"/>
      <c r="BF17" s="167"/>
      <c r="BG17" s="167"/>
      <c r="BH17" s="167"/>
      <c r="BI17" s="167">
        <f t="shared" si="0"/>
        <v>10016490</v>
      </c>
      <c r="BJ17" s="167">
        <f t="shared" si="1"/>
        <v>8694208</v>
      </c>
      <c r="BK17" s="167">
        <f t="shared" si="1"/>
        <v>4518798</v>
      </c>
      <c r="BL17" s="80">
        <f t="shared" si="2"/>
        <v>4466109</v>
      </c>
      <c r="BM17" s="80">
        <f t="shared" si="3"/>
        <v>52689</v>
      </c>
      <c r="BN17" s="80">
        <f t="shared" si="4"/>
        <v>0</v>
      </c>
    </row>
    <row r="18" spans="1:66" ht="21.75" customHeight="1" x14ac:dyDescent="0.25">
      <c r="A18" s="25" t="s">
        <v>200</v>
      </c>
      <c r="B18" s="28" t="s">
        <v>333</v>
      </c>
      <c r="C18" s="26" t="s">
        <v>209</v>
      </c>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f t="shared" si="0"/>
        <v>0</v>
      </c>
      <c r="BJ18" s="167">
        <f t="shared" si="1"/>
        <v>0</v>
      </c>
      <c r="BK18" s="167">
        <f t="shared" si="1"/>
        <v>0</v>
      </c>
      <c r="BL18" s="80">
        <f t="shared" si="2"/>
        <v>0</v>
      </c>
      <c r="BM18" s="80">
        <f t="shared" si="3"/>
        <v>0</v>
      </c>
      <c r="BN18" s="80">
        <f t="shared" si="4"/>
        <v>0</v>
      </c>
    </row>
    <row r="19" spans="1:66" ht="21.75" customHeight="1" x14ac:dyDescent="0.25">
      <c r="A19" s="25" t="s">
        <v>201</v>
      </c>
      <c r="B19" s="28" t="s">
        <v>238</v>
      </c>
      <c r="C19" s="26" t="s">
        <v>210</v>
      </c>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f t="shared" si="0"/>
        <v>0</v>
      </c>
      <c r="BJ19" s="167">
        <f t="shared" si="1"/>
        <v>0</v>
      </c>
      <c r="BK19" s="167">
        <f t="shared" si="1"/>
        <v>0</v>
      </c>
      <c r="BL19" s="80">
        <f t="shared" si="2"/>
        <v>0</v>
      </c>
      <c r="BM19" s="80">
        <f t="shared" si="3"/>
        <v>0</v>
      </c>
      <c r="BN19" s="80">
        <f t="shared" si="4"/>
        <v>0</v>
      </c>
    </row>
    <row r="20" spans="1:66" ht="21.75" customHeight="1" x14ac:dyDescent="0.25">
      <c r="A20" s="25" t="s">
        <v>228</v>
      </c>
      <c r="B20" s="29" t="s">
        <v>121</v>
      </c>
      <c r="C20" s="26"/>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f t="shared" si="0"/>
        <v>0</v>
      </c>
      <c r="BJ20" s="167">
        <f t="shared" si="1"/>
        <v>0</v>
      </c>
      <c r="BK20" s="167">
        <f t="shared" si="1"/>
        <v>0</v>
      </c>
      <c r="BL20" s="80">
        <f t="shared" si="2"/>
        <v>0</v>
      </c>
      <c r="BM20" s="80">
        <f t="shared" si="3"/>
        <v>0</v>
      </c>
      <c r="BN20" s="80">
        <f t="shared" si="4"/>
        <v>0</v>
      </c>
    </row>
    <row r="21" spans="1:66" ht="21.75" customHeight="1" x14ac:dyDescent="0.25">
      <c r="A21" s="25" t="s">
        <v>229</v>
      </c>
      <c r="B21" s="31" t="s">
        <v>239</v>
      </c>
      <c r="C21" s="26" t="s">
        <v>211</v>
      </c>
      <c r="D21" s="167">
        <f>+D9+D10+D11+D12+D13+D17+D18+D19</f>
        <v>31791958</v>
      </c>
      <c r="E21" s="167">
        <f t="shared" ref="E21:BK21" si="6">+E9+E10+E11+E12+E13+E17+E18+E19</f>
        <v>63201781</v>
      </c>
      <c r="F21" s="167">
        <f t="shared" si="6"/>
        <v>63201781</v>
      </c>
      <c r="G21" s="167">
        <f t="shared" si="6"/>
        <v>128131311</v>
      </c>
      <c r="H21" s="167">
        <f t="shared" si="6"/>
        <v>129696419</v>
      </c>
      <c r="I21" s="167">
        <f t="shared" si="6"/>
        <v>99392506</v>
      </c>
      <c r="J21" s="167">
        <f t="shared" si="6"/>
        <v>49991001</v>
      </c>
      <c r="K21" s="167">
        <f t="shared" si="6"/>
        <v>53526244</v>
      </c>
      <c r="L21" s="167">
        <f t="shared" si="6"/>
        <v>35689798</v>
      </c>
      <c r="M21" s="167">
        <f t="shared" si="6"/>
        <v>26278882</v>
      </c>
      <c r="N21" s="167">
        <f t="shared" si="6"/>
        <v>29187826</v>
      </c>
      <c r="O21" s="167">
        <f t="shared" si="6"/>
        <v>27513839</v>
      </c>
      <c r="P21" s="167">
        <f t="shared" si="6"/>
        <v>20778774</v>
      </c>
      <c r="Q21" s="167">
        <f t="shared" si="6"/>
        <v>21039914</v>
      </c>
      <c r="R21" s="167">
        <f t="shared" si="6"/>
        <v>19159669</v>
      </c>
      <c r="S21" s="167">
        <f t="shared" si="6"/>
        <v>30471603</v>
      </c>
      <c r="T21" s="167">
        <f t="shared" si="6"/>
        <v>39737444</v>
      </c>
      <c r="U21" s="167">
        <f t="shared" si="6"/>
        <v>30586050</v>
      </c>
      <c r="V21" s="167">
        <f t="shared" si="6"/>
        <v>13727851</v>
      </c>
      <c r="W21" s="167">
        <f t="shared" si="6"/>
        <v>19987865</v>
      </c>
      <c r="X21" s="167">
        <f t="shared" si="6"/>
        <v>15283641</v>
      </c>
      <c r="Y21" s="167">
        <f t="shared" si="6"/>
        <v>19658432</v>
      </c>
      <c r="Z21" s="167">
        <f t="shared" si="6"/>
        <v>21598291</v>
      </c>
      <c r="AA21" s="167">
        <f t="shared" si="6"/>
        <v>15488432</v>
      </c>
      <c r="AB21" s="167">
        <f t="shared" si="6"/>
        <v>40980516</v>
      </c>
      <c r="AC21" s="167">
        <f t="shared" si="6"/>
        <v>41460516</v>
      </c>
      <c r="AD21" s="167">
        <f t="shared" si="6"/>
        <v>19680931</v>
      </c>
      <c r="AE21" s="167">
        <f t="shared" si="6"/>
        <v>21541466</v>
      </c>
      <c r="AF21" s="167">
        <f t="shared" si="6"/>
        <v>21767466</v>
      </c>
      <c r="AG21" s="167">
        <f t="shared" si="6"/>
        <v>14878689</v>
      </c>
      <c r="AH21" s="167">
        <f t="shared" si="6"/>
        <v>117367577</v>
      </c>
      <c r="AI21" s="167">
        <f t="shared" si="6"/>
        <v>140729977</v>
      </c>
      <c r="AJ21" s="167">
        <f t="shared" si="6"/>
        <v>97917982</v>
      </c>
      <c r="AK21" s="167">
        <f t="shared" si="6"/>
        <v>30265425</v>
      </c>
      <c r="AL21" s="167">
        <f t="shared" si="6"/>
        <v>30794290</v>
      </c>
      <c r="AM21" s="167">
        <f t="shared" si="6"/>
        <v>26566712</v>
      </c>
      <c r="AN21" s="167">
        <f t="shared" si="6"/>
        <v>209188145</v>
      </c>
      <c r="AO21" s="167">
        <f t="shared" si="6"/>
        <v>227468690</v>
      </c>
      <c r="AP21" s="167">
        <f t="shared" si="6"/>
        <v>200737609</v>
      </c>
      <c r="AQ21" s="167">
        <f t="shared" si="6"/>
        <v>306398958</v>
      </c>
      <c r="AR21" s="167">
        <f t="shared" si="6"/>
        <v>373531885</v>
      </c>
      <c r="AS21" s="167">
        <f t="shared" si="6"/>
        <v>265042006</v>
      </c>
      <c r="AT21" s="167">
        <f t="shared" si="6"/>
        <v>15966712</v>
      </c>
      <c r="AU21" s="167">
        <v>22660404</v>
      </c>
      <c r="AV21" s="167">
        <f t="shared" si="6"/>
        <v>16186349</v>
      </c>
      <c r="AW21" s="167">
        <f t="shared" si="6"/>
        <v>11608829</v>
      </c>
      <c r="AX21" s="167">
        <f t="shared" si="6"/>
        <v>11832947</v>
      </c>
      <c r="AY21" s="167">
        <f t="shared" si="6"/>
        <v>2833975</v>
      </c>
      <c r="AZ21" s="167">
        <f t="shared" si="6"/>
        <v>0</v>
      </c>
      <c r="BA21" s="167">
        <f t="shared" si="6"/>
        <v>0</v>
      </c>
      <c r="BB21" s="167">
        <f t="shared" si="6"/>
        <v>0</v>
      </c>
      <c r="BC21" s="167">
        <f t="shared" si="6"/>
        <v>2159000</v>
      </c>
      <c r="BD21" s="167">
        <f t="shared" si="6"/>
        <v>2801370</v>
      </c>
      <c r="BE21" s="167">
        <f t="shared" si="6"/>
        <v>2801370</v>
      </c>
      <c r="BF21" s="167">
        <f t="shared" si="6"/>
        <v>6432074</v>
      </c>
      <c r="BG21" s="167">
        <f t="shared" si="6"/>
        <v>15653064</v>
      </c>
      <c r="BH21" s="167">
        <f t="shared" si="6"/>
        <v>13541494</v>
      </c>
      <c r="BI21" s="168">
        <f t="shared" si="6"/>
        <v>1082738514</v>
      </c>
      <c r="BJ21" s="168">
        <f t="shared" si="6"/>
        <v>1269831138</v>
      </c>
      <c r="BK21" s="168">
        <f t="shared" si="6"/>
        <v>966502833</v>
      </c>
      <c r="BL21" s="80">
        <f t="shared" si="2"/>
        <v>869781273</v>
      </c>
      <c r="BM21" s="80">
        <f t="shared" si="3"/>
        <v>96721560</v>
      </c>
      <c r="BN21" s="80">
        <f t="shared" si="4"/>
        <v>0</v>
      </c>
    </row>
    <row r="22" spans="1:66" ht="21.75" customHeight="1" x14ac:dyDescent="0.25">
      <c r="A22" s="25" t="s">
        <v>230</v>
      </c>
      <c r="B22" s="31" t="s">
        <v>224</v>
      </c>
      <c r="C22" s="26" t="s">
        <v>220</v>
      </c>
      <c r="D22" s="167">
        <f>SUM(D23:D26)</f>
        <v>0</v>
      </c>
      <c r="E22" s="167">
        <f t="shared" ref="E22:BK22" si="7">SUM(E23:E26)</f>
        <v>0</v>
      </c>
      <c r="F22" s="167">
        <f t="shared" si="7"/>
        <v>0</v>
      </c>
      <c r="G22" s="167">
        <f t="shared" si="7"/>
        <v>0</v>
      </c>
      <c r="H22" s="167">
        <f t="shared" si="7"/>
        <v>0</v>
      </c>
      <c r="I22" s="167">
        <f t="shared" si="7"/>
        <v>0</v>
      </c>
      <c r="J22" s="167">
        <f t="shared" si="7"/>
        <v>0</v>
      </c>
      <c r="K22" s="167">
        <f t="shared" si="7"/>
        <v>0</v>
      </c>
      <c r="L22" s="167">
        <f t="shared" si="7"/>
        <v>0</v>
      </c>
      <c r="M22" s="167">
        <f t="shared" si="7"/>
        <v>0</v>
      </c>
      <c r="N22" s="167">
        <f t="shared" si="7"/>
        <v>0</v>
      </c>
      <c r="O22" s="167">
        <f t="shared" si="7"/>
        <v>0</v>
      </c>
      <c r="P22" s="167">
        <f t="shared" si="7"/>
        <v>0</v>
      </c>
      <c r="Q22" s="167">
        <f t="shared" si="7"/>
        <v>0</v>
      </c>
      <c r="R22" s="167">
        <f t="shared" si="7"/>
        <v>0</v>
      </c>
      <c r="S22" s="167">
        <f t="shared" si="7"/>
        <v>0</v>
      </c>
      <c r="T22" s="167">
        <f t="shared" si="7"/>
        <v>0</v>
      </c>
      <c r="U22" s="167">
        <f t="shared" si="7"/>
        <v>0</v>
      </c>
      <c r="V22" s="167">
        <f t="shared" si="7"/>
        <v>0</v>
      </c>
      <c r="W22" s="167">
        <f t="shared" si="7"/>
        <v>0</v>
      </c>
      <c r="X22" s="167">
        <f t="shared" si="7"/>
        <v>0</v>
      </c>
      <c r="Y22" s="167">
        <f t="shared" si="7"/>
        <v>0</v>
      </c>
      <c r="Z22" s="167">
        <f t="shared" si="7"/>
        <v>0</v>
      </c>
      <c r="AA22" s="167">
        <f t="shared" si="7"/>
        <v>0</v>
      </c>
      <c r="AB22" s="167">
        <f t="shared" si="7"/>
        <v>0</v>
      </c>
      <c r="AC22" s="167">
        <f t="shared" si="7"/>
        <v>0</v>
      </c>
      <c r="AD22" s="167">
        <f t="shared" si="7"/>
        <v>0</v>
      </c>
      <c r="AE22" s="167">
        <f t="shared" si="7"/>
        <v>0</v>
      </c>
      <c r="AF22" s="167">
        <f t="shared" si="7"/>
        <v>0</v>
      </c>
      <c r="AG22" s="167">
        <f t="shared" si="7"/>
        <v>0</v>
      </c>
      <c r="AH22" s="167">
        <f t="shared" si="7"/>
        <v>0</v>
      </c>
      <c r="AI22" s="167">
        <f t="shared" si="7"/>
        <v>0</v>
      </c>
      <c r="AJ22" s="167">
        <f t="shared" si="7"/>
        <v>0</v>
      </c>
      <c r="AK22" s="167">
        <f t="shared" si="7"/>
        <v>0</v>
      </c>
      <c r="AL22" s="167">
        <f t="shared" si="7"/>
        <v>0</v>
      </c>
      <c r="AM22" s="167">
        <f t="shared" si="7"/>
        <v>0</v>
      </c>
      <c r="AN22" s="167">
        <f t="shared" si="7"/>
        <v>0</v>
      </c>
      <c r="AO22" s="167">
        <f t="shared" si="7"/>
        <v>0</v>
      </c>
      <c r="AP22" s="167">
        <f t="shared" si="7"/>
        <v>0</v>
      </c>
      <c r="AQ22" s="167">
        <f t="shared" si="7"/>
        <v>0</v>
      </c>
      <c r="AR22" s="167">
        <f t="shared" si="7"/>
        <v>0</v>
      </c>
      <c r="AS22" s="167">
        <f t="shared" si="7"/>
        <v>0</v>
      </c>
      <c r="AT22" s="167">
        <f t="shared" si="7"/>
        <v>0</v>
      </c>
      <c r="AU22" s="167">
        <f t="shared" si="7"/>
        <v>0</v>
      </c>
      <c r="AV22" s="167">
        <f t="shared" si="7"/>
        <v>0</v>
      </c>
      <c r="AW22" s="167">
        <f t="shared" si="7"/>
        <v>0</v>
      </c>
      <c r="AX22" s="167">
        <f t="shared" si="7"/>
        <v>0</v>
      </c>
      <c r="AY22" s="167">
        <f t="shared" si="7"/>
        <v>0</v>
      </c>
      <c r="AZ22" s="167">
        <f t="shared" si="7"/>
        <v>0</v>
      </c>
      <c r="BA22" s="167">
        <f t="shared" si="7"/>
        <v>0</v>
      </c>
      <c r="BB22" s="167">
        <f t="shared" si="7"/>
        <v>0</v>
      </c>
      <c r="BC22" s="167">
        <f t="shared" si="7"/>
        <v>0</v>
      </c>
      <c r="BD22" s="167">
        <f t="shared" si="7"/>
        <v>0</v>
      </c>
      <c r="BE22" s="167">
        <f t="shared" si="7"/>
        <v>0</v>
      </c>
      <c r="BF22" s="167">
        <f t="shared" si="7"/>
        <v>0</v>
      </c>
      <c r="BG22" s="167">
        <f t="shared" si="7"/>
        <v>0</v>
      </c>
      <c r="BH22" s="167">
        <f t="shared" si="7"/>
        <v>0</v>
      </c>
      <c r="BI22" s="167">
        <f t="shared" si="7"/>
        <v>0</v>
      </c>
      <c r="BJ22" s="167">
        <f t="shared" si="7"/>
        <v>0</v>
      </c>
      <c r="BK22" s="167">
        <f t="shared" si="7"/>
        <v>0</v>
      </c>
      <c r="BL22" s="80">
        <f t="shared" si="2"/>
        <v>0</v>
      </c>
      <c r="BM22" s="80">
        <f t="shared" si="3"/>
        <v>0</v>
      </c>
      <c r="BN22" s="80">
        <f t="shared" si="4"/>
        <v>0</v>
      </c>
    </row>
    <row r="23" spans="1:66" ht="21.75" customHeight="1" x14ac:dyDescent="0.25">
      <c r="A23" s="25" t="s">
        <v>231</v>
      </c>
      <c r="B23" s="90" t="s">
        <v>179</v>
      </c>
      <c r="C23" s="30"/>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f t="shared" si="0"/>
        <v>0</v>
      </c>
      <c r="BJ23" s="167">
        <f t="shared" si="1"/>
        <v>0</v>
      </c>
      <c r="BK23" s="167">
        <f t="shared" si="1"/>
        <v>0</v>
      </c>
      <c r="BL23" s="80">
        <f t="shared" si="2"/>
        <v>0</v>
      </c>
      <c r="BM23" s="80">
        <f t="shared" si="3"/>
        <v>0</v>
      </c>
      <c r="BN23" s="80">
        <f t="shared" si="4"/>
        <v>0</v>
      </c>
    </row>
    <row r="24" spans="1:66" ht="21.75" customHeight="1" x14ac:dyDescent="0.25">
      <c r="A24" s="25" t="s">
        <v>232</v>
      </c>
      <c r="B24" s="32" t="s">
        <v>520</v>
      </c>
      <c r="C24" s="30"/>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f t="shared" si="0"/>
        <v>0</v>
      </c>
      <c r="BJ24" s="167">
        <f t="shared" si="1"/>
        <v>0</v>
      </c>
      <c r="BK24" s="167">
        <f t="shared" si="1"/>
        <v>0</v>
      </c>
      <c r="BL24" s="80">
        <f t="shared" si="2"/>
        <v>0</v>
      </c>
      <c r="BM24" s="80">
        <f t="shared" si="3"/>
        <v>0</v>
      </c>
      <c r="BN24" s="80">
        <f t="shared" si="4"/>
        <v>0</v>
      </c>
    </row>
    <row r="25" spans="1:66" ht="21.75" customHeight="1" x14ac:dyDescent="0.25">
      <c r="A25" s="25" t="s">
        <v>233</v>
      </c>
      <c r="B25" s="32" t="s">
        <v>521</v>
      </c>
      <c r="C25" s="30"/>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f t="shared" si="0"/>
        <v>0</v>
      </c>
      <c r="BJ25" s="167">
        <f t="shared" si="1"/>
        <v>0</v>
      </c>
      <c r="BK25" s="167">
        <f t="shared" si="1"/>
        <v>0</v>
      </c>
      <c r="BL25" s="80">
        <f t="shared" si="2"/>
        <v>0</v>
      </c>
      <c r="BM25" s="80">
        <f t="shared" si="3"/>
        <v>0</v>
      </c>
      <c r="BN25" s="80">
        <f t="shared" si="4"/>
        <v>0</v>
      </c>
    </row>
    <row r="26" spans="1:66" ht="21.75" customHeight="1" x14ac:dyDescent="0.25">
      <c r="A26" s="25" t="s">
        <v>234</v>
      </c>
      <c r="B26" s="32" t="s">
        <v>123</v>
      </c>
      <c r="C26" s="30"/>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f t="shared" si="0"/>
        <v>0</v>
      </c>
      <c r="BJ26" s="167">
        <f t="shared" si="1"/>
        <v>0</v>
      </c>
      <c r="BK26" s="167">
        <f t="shared" si="1"/>
        <v>0</v>
      </c>
      <c r="BL26" s="80">
        <f t="shared" si="2"/>
        <v>0</v>
      </c>
      <c r="BM26" s="80">
        <f t="shared" si="3"/>
        <v>0</v>
      </c>
      <c r="BN26" s="80">
        <f t="shared" si="4"/>
        <v>0</v>
      </c>
    </row>
    <row r="27" spans="1:66" ht="21.75" customHeight="1" x14ac:dyDescent="0.25">
      <c r="A27" s="25" t="s">
        <v>235</v>
      </c>
      <c r="B27" s="222" t="s">
        <v>742</v>
      </c>
      <c r="C27" s="30"/>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f t="shared" si="0"/>
        <v>0</v>
      </c>
      <c r="BJ27" s="167">
        <f t="shared" si="1"/>
        <v>0</v>
      </c>
      <c r="BK27" s="167">
        <f t="shared" si="1"/>
        <v>0</v>
      </c>
      <c r="BL27" s="80">
        <f t="shared" si="2"/>
        <v>0</v>
      </c>
      <c r="BM27" s="80">
        <f t="shared" si="3"/>
        <v>0</v>
      </c>
      <c r="BN27" s="80">
        <f t="shared" si="4"/>
        <v>0</v>
      </c>
    </row>
    <row r="28" spans="1:66" s="34" customFormat="1" ht="21.75" customHeight="1" x14ac:dyDescent="0.25">
      <c r="A28" s="25" t="s">
        <v>236</v>
      </c>
      <c r="B28" s="33" t="s">
        <v>32</v>
      </c>
      <c r="C28" s="26"/>
      <c r="D28" s="168">
        <f>+D9+D10+D11+D12+D13+D23+D24</f>
        <v>31791958</v>
      </c>
      <c r="E28" s="168">
        <f t="shared" ref="E28:BK28" si="8">+E9+E10+E11+E12+E13+E23+E24</f>
        <v>63201781</v>
      </c>
      <c r="F28" s="168">
        <f t="shared" si="8"/>
        <v>63201781</v>
      </c>
      <c r="G28" s="168">
        <f t="shared" si="8"/>
        <v>122940821</v>
      </c>
      <c r="H28" s="168">
        <f t="shared" si="8"/>
        <v>126405929</v>
      </c>
      <c r="I28" s="168">
        <f t="shared" si="8"/>
        <v>96396736</v>
      </c>
      <c r="J28" s="168">
        <f t="shared" si="8"/>
        <v>49610001</v>
      </c>
      <c r="K28" s="168">
        <f t="shared" si="8"/>
        <v>53145244</v>
      </c>
      <c r="L28" s="168">
        <f t="shared" si="8"/>
        <v>35689798</v>
      </c>
      <c r="M28" s="168">
        <f t="shared" si="8"/>
        <v>26024882</v>
      </c>
      <c r="N28" s="168">
        <f t="shared" si="8"/>
        <v>28933826</v>
      </c>
      <c r="O28" s="168">
        <f t="shared" si="8"/>
        <v>27513839</v>
      </c>
      <c r="P28" s="168">
        <f t="shared" si="8"/>
        <v>20715274</v>
      </c>
      <c r="Q28" s="168">
        <f t="shared" si="8"/>
        <v>20976414</v>
      </c>
      <c r="R28" s="168">
        <f t="shared" si="8"/>
        <v>19106980</v>
      </c>
      <c r="S28" s="168">
        <f t="shared" si="8"/>
        <v>29836603</v>
      </c>
      <c r="T28" s="168">
        <f t="shared" si="8"/>
        <v>38936078</v>
      </c>
      <c r="U28" s="168">
        <f t="shared" si="8"/>
        <v>30167468</v>
      </c>
      <c r="V28" s="168">
        <f t="shared" si="8"/>
        <v>13473851</v>
      </c>
      <c r="W28" s="168">
        <f t="shared" si="8"/>
        <v>19623135</v>
      </c>
      <c r="X28" s="168">
        <f t="shared" si="8"/>
        <v>15136414</v>
      </c>
      <c r="Y28" s="168">
        <f t="shared" si="8"/>
        <v>19023432</v>
      </c>
      <c r="Z28" s="168">
        <f t="shared" si="8"/>
        <v>20963291</v>
      </c>
      <c r="AA28" s="168">
        <f t="shared" si="8"/>
        <v>15488432</v>
      </c>
      <c r="AB28" s="168">
        <f t="shared" si="8"/>
        <v>40472516</v>
      </c>
      <c r="AC28" s="168">
        <f t="shared" si="8"/>
        <v>40952516</v>
      </c>
      <c r="AD28" s="168">
        <f t="shared" si="8"/>
        <v>19680931</v>
      </c>
      <c r="AE28" s="168">
        <f t="shared" si="8"/>
        <v>20906466</v>
      </c>
      <c r="AF28" s="168">
        <f t="shared" si="8"/>
        <v>21132466</v>
      </c>
      <c r="AG28" s="168">
        <f t="shared" si="8"/>
        <v>14878689</v>
      </c>
      <c r="AH28" s="168">
        <f t="shared" si="8"/>
        <v>116669077</v>
      </c>
      <c r="AI28" s="168">
        <f t="shared" si="8"/>
        <v>140031477</v>
      </c>
      <c r="AJ28" s="168">
        <f t="shared" si="8"/>
        <v>97910692</v>
      </c>
      <c r="AK28" s="168">
        <f t="shared" si="8"/>
        <v>30011425</v>
      </c>
      <c r="AL28" s="168">
        <f t="shared" si="8"/>
        <v>30447948</v>
      </c>
      <c r="AM28" s="168">
        <f t="shared" si="8"/>
        <v>26279032</v>
      </c>
      <c r="AN28" s="168">
        <f t="shared" si="8"/>
        <v>209188145</v>
      </c>
      <c r="AO28" s="168">
        <f t="shared" si="8"/>
        <v>227468690</v>
      </c>
      <c r="AP28" s="168">
        <f t="shared" si="8"/>
        <v>200737609</v>
      </c>
      <c r="AQ28" s="168">
        <f t="shared" si="8"/>
        <v>305890958</v>
      </c>
      <c r="AR28" s="168">
        <f t="shared" si="8"/>
        <v>372815605</v>
      </c>
      <c r="AS28" s="168">
        <f t="shared" si="8"/>
        <v>264432446</v>
      </c>
      <c r="AT28" s="168">
        <f t="shared" si="8"/>
        <v>15966712</v>
      </c>
      <c r="AU28" s="168">
        <f t="shared" si="8"/>
        <v>25815149</v>
      </c>
      <c r="AV28" s="168">
        <f t="shared" si="8"/>
        <v>16186349</v>
      </c>
      <c r="AW28" s="168">
        <f t="shared" si="8"/>
        <v>11608829</v>
      </c>
      <c r="AX28" s="168">
        <f t="shared" si="8"/>
        <v>11832947</v>
      </c>
      <c r="AY28" s="168">
        <f t="shared" si="8"/>
        <v>2833975</v>
      </c>
      <c r="AZ28" s="168">
        <f t="shared" si="8"/>
        <v>0</v>
      </c>
      <c r="BA28" s="168">
        <f t="shared" si="8"/>
        <v>0</v>
      </c>
      <c r="BB28" s="168">
        <f t="shared" si="8"/>
        <v>0</v>
      </c>
      <c r="BC28" s="168">
        <f t="shared" si="8"/>
        <v>2159000</v>
      </c>
      <c r="BD28" s="168">
        <f t="shared" si="8"/>
        <v>2801370</v>
      </c>
      <c r="BE28" s="168">
        <f t="shared" si="8"/>
        <v>2801370</v>
      </c>
      <c r="BF28" s="168">
        <f t="shared" si="8"/>
        <v>6432074</v>
      </c>
      <c r="BG28" s="168">
        <f t="shared" si="8"/>
        <v>15653064</v>
      </c>
      <c r="BH28" s="168">
        <f t="shared" si="8"/>
        <v>13541494</v>
      </c>
      <c r="BI28" s="168">
        <f t="shared" si="8"/>
        <v>1072722024</v>
      </c>
      <c r="BJ28" s="168">
        <f t="shared" si="8"/>
        <v>1261136930</v>
      </c>
      <c r="BK28" s="168">
        <f t="shared" si="8"/>
        <v>961984035</v>
      </c>
      <c r="BL28" s="80">
        <f t="shared" si="2"/>
        <v>865315164</v>
      </c>
      <c r="BM28" s="80">
        <f t="shared" si="3"/>
        <v>96668871</v>
      </c>
      <c r="BN28" s="80">
        <f t="shared" si="4"/>
        <v>0</v>
      </c>
    </row>
    <row r="29" spans="1:66" s="34" customFormat="1" ht="21.75" customHeight="1" x14ac:dyDescent="0.25">
      <c r="A29" s="25" t="s">
        <v>261</v>
      </c>
      <c r="B29" s="33" t="s">
        <v>33</v>
      </c>
      <c r="C29" s="26"/>
      <c r="D29" s="168">
        <f>+D17+D18+D19+D25+D26</f>
        <v>0</v>
      </c>
      <c r="E29" s="168">
        <f t="shared" ref="E29:BK29" si="9">+E17+E18+E19+E25+E26</f>
        <v>0</v>
      </c>
      <c r="F29" s="168">
        <f t="shared" si="9"/>
        <v>0</v>
      </c>
      <c r="G29" s="168">
        <f t="shared" si="9"/>
        <v>5190490</v>
      </c>
      <c r="H29" s="168">
        <f t="shared" si="9"/>
        <v>3290490</v>
      </c>
      <c r="I29" s="168">
        <f t="shared" si="9"/>
        <v>2995770</v>
      </c>
      <c r="J29" s="168">
        <f t="shared" si="9"/>
        <v>381000</v>
      </c>
      <c r="K29" s="168">
        <f t="shared" si="9"/>
        <v>381000</v>
      </c>
      <c r="L29" s="168">
        <f t="shared" si="9"/>
        <v>0</v>
      </c>
      <c r="M29" s="168">
        <f t="shared" si="9"/>
        <v>254000</v>
      </c>
      <c r="N29" s="168">
        <f t="shared" si="9"/>
        <v>254000</v>
      </c>
      <c r="O29" s="168">
        <f t="shared" si="9"/>
        <v>0</v>
      </c>
      <c r="P29" s="168">
        <f t="shared" si="9"/>
        <v>63500</v>
      </c>
      <c r="Q29" s="168">
        <f t="shared" si="9"/>
        <v>63500</v>
      </c>
      <c r="R29" s="168">
        <f t="shared" si="9"/>
        <v>52689</v>
      </c>
      <c r="S29" s="168">
        <f t="shared" si="9"/>
        <v>635000</v>
      </c>
      <c r="T29" s="168">
        <f t="shared" si="9"/>
        <v>801366</v>
      </c>
      <c r="U29" s="168">
        <f t="shared" si="9"/>
        <v>418582</v>
      </c>
      <c r="V29" s="168">
        <f t="shared" si="9"/>
        <v>254000</v>
      </c>
      <c r="W29" s="168">
        <f t="shared" si="9"/>
        <v>364730</v>
      </c>
      <c r="X29" s="168">
        <f t="shared" si="9"/>
        <v>147227</v>
      </c>
      <c r="Y29" s="168">
        <f t="shared" si="9"/>
        <v>635000</v>
      </c>
      <c r="Z29" s="168">
        <f t="shared" si="9"/>
        <v>635000</v>
      </c>
      <c r="AA29" s="168">
        <f t="shared" si="9"/>
        <v>0</v>
      </c>
      <c r="AB29" s="168">
        <f t="shared" si="9"/>
        <v>508000</v>
      </c>
      <c r="AC29" s="168">
        <f t="shared" si="9"/>
        <v>508000</v>
      </c>
      <c r="AD29" s="168">
        <f t="shared" si="9"/>
        <v>0</v>
      </c>
      <c r="AE29" s="168">
        <f t="shared" si="9"/>
        <v>635000</v>
      </c>
      <c r="AF29" s="168">
        <f t="shared" si="9"/>
        <v>635000</v>
      </c>
      <c r="AG29" s="168">
        <f t="shared" si="9"/>
        <v>0</v>
      </c>
      <c r="AH29" s="168">
        <f t="shared" si="9"/>
        <v>698500</v>
      </c>
      <c r="AI29" s="168">
        <f t="shared" si="9"/>
        <v>698500</v>
      </c>
      <c r="AJ29" s="168">
        <f t="shared" si="9"/>
        <v>7290</v>
      </c>
      <c r="AK29" s="168">
        <f t="shared" si="9"/>
        <v>254000</v>
      </c>
      <c r="AL29" s="168">
        <f t="shared" si="9"/>
        <v>346342</v>
      </c>
      <c r="AM29" s="168">
        <f t="shared" si="9"/>
        <v>287680</v>
      </c>
      <c r="AN29" s="168">
        <f t="shared" si="9"/>
        <v>0</v>
      </c>
      <c r="AO29" s="168">
        <f t="shared" si="9"/>
        <v>0</v>
      </c>
      <c r="AP29" s="168">
        <f t="shared" si="9"/>
        <v>0</v>
      </c>
      <c r="AQ29" s="168">
        <f t="shared" si="9"/>
        <v>508000</v>
      </c>
      <c r="AR29" s="168">
        <f t="shared" si="9"/>
        <v>716280</v>
      </c>
      <c r="AS29" s="168">
        <f t="shared" si="9"/>
        <v>609560</v>
      </c>
      <c r="AT29" s="168">
        <f t="shared" si="9"/>
        <v>0</v>
      </c>
      <c r="AU29" s="168">
        <f t="shared" si="9"/>
        <v>0</v>
      </c>
      <c r="AV29" s="168">
        <f t="shared" si="9"/>
        <v>0</v>
      </c>
      <c r="AW29" s="168">
        <f t="shared" si="9"/>
        <v>0</v>
      </c>
      <c r="AX29" s="168">
        <f t="shared" si="9"/>
        <v>0</v>
      </c>
      <c r="AY29" s="168">
        <f t="shared" si="9"/>
        <v>0</v>
      </c>
      <c r="AZ29" s="168">
        <f t="shared" si="9"/>
        <v>0</v>
      </c>
      <c r="BA29" s="168">
        <f t="shared" si="9"/>
        <v>0</v>
      </c>
      <c r="BB29" s="168">
        <f t="shared" si="9"/>
        <v>0</v>
      </c>
      <c r="BC29" s="168">
        <f t="shared" si="9"/>
        <v>0</v>
      </c>
      <c r="BD29" s="168">
        <f t="shared" si="9"/>
        <v>0</v>
      </c>
      <c r="BE29" s="168">
        <f t="shared" si="9"/>
        <v>0</v>
      </c>
      <c r="BF29" s="168">
        <f t="shared" si="9"/>
        <v>0</v>
      </c>
      <c r="BG29" s="168">
        <f t="shared" si="9"/>
        <v>0</v>
      </c>
      <c r="BH29" s="168">
        <f t="shared" si="9"/>
        <v>0</v>
      </c>
      <c r="BI29" s="168">
        <f t="shared" si="9"/>
        <v>10016490</v>
      </c>
      <c r="BJ29" s="168">
        <f t="shared" si="9"/>
        <v>8694208</v>
      </c>
      <c r="BK29" s="168">
        <f t="shared" si="9"/>
        <v>4518798</v>
      </c>
      <c r="BL29" s="80">
        <f t="shared" si="2"/>
        <v>4466109</v>
      </c>
      <c r="BM29" s="80">
        <f t="shared" si="3"/>
        <v>52689</v>
      </c>
      <c r="BN29" s="80">
        <f t="shared" si="4"/>
        <v>0</v>
      </c>
    </row>
    <row r="30" spans="1:66" s="34" customFormat="1" ht="21.75" customHeight="1" x14ac:dyDescent="0.25">
      <c r="A30" s="25" t="s">
        <v>262</v>
      </c>
      <c r="B30" s="33" t="s">
        <v>328</v>
      </c>
      <c r="C30" s="26" t="s">
        <v>31</v>
      </c>
      <c r="D30" s="168">
        <f>SUM(D28:D29)</f>
        <v>31791958</v>
      </c>
      <c r="E30" s="168">
        <f t="shared" ref="E30:BK30" si="10">SUM(E28:E29)</f>
        <v>63201781</v>
      </c>
      <c r="F30" s="168">
        <f t="shared" si="10"/>
        <v>63201781</v>
      </c>
      <c r="G30" s="168">
        <f t="shared" si="10"/>
        <v>128131311</v>
      </c>
      <c r="H30" s="168">
        <f t="shared" si="10"/>
        <v>129696419</v>
      </c>
      <c r="I30" s="168">
        <f t="shared" si="10"/>
        <v>99392506</v>
      </c>
      <c r="J30" s="168">
        <f t="shared" si="10"/>
        <v>49991001</v>
      </c>
      <c r="K30" s="168">
        <f t="shared" si="10"/>
        <v>53526244</v>
      </c>
      <c r="L30" s="168">
        <f t="shared" si="10"/>
        <v>35689798</v>
      </c>
      <c r="M30" s="168">
        <f t="shared" si="10"/>
        <v>26278882</v>
      </c>
      <c r="N30" s="168">
        <f t="shared" si="10"/>
        <v>29187826</v>
      </c>
      <c r="O30" s="168">
        <f t="shared" si="10"/>
        <v>27513839</v>
      </c>
      <c r="P30" s="168">
        <f t="shared" si="10"/>
        <v>20778774</v>
      </c>
      <c r="Q30" s="168">
        <f t="shared" si="10"/>
        <v>21039914</v>
      </c>
      <c r="R30" s="168">
        <f t="shared" si="10"/>
        <v>19159669</v>
      </c>
      <c r="S30" s="168">
        <f t="shared" si="10"/>
        <v>30471603</v>
      </c>
      <c r="T30" s="168">
        <f t="shared" si="10"/>
        <v>39737444</v>
      </c>
      <c r="U30" s="168">
        <f t="shared" si="10"/>
        <v>30586050</v>
      </c>
      <c r="V30" s="168">
        <f t="shared" si="10"/>
        <v>13727851</v>
      </c>
      <c r="W30" s="168">
        <f t="shared" si="10"/>
        <v>19987865</v>
      </c>
      <c r="X30" s="168">
        <f t="shared" si="10"/>
        <v>15283641</v>
      </c>
      <c r="Y30" s="168">
        <f t="shared" si="10"/>
        <v>19658432</v>
      </c>
      <c r="Z30" s="168">
        <f t="shared" si="10"/>
        <v>21598291</v>
      </c>
      <c r="AA30" s="168">
        <f t="shared" si="10"/>
        <v>15488432</v>
      </c>
      <c r="AB30" s="168">
        <f t="shared" si="10"/>
        <v>40980516</v>
      </c>
      <c r="AC30" s="168">
        <f t="shared" si="10"/>
        <v>41460516</v>
      </c>
      <c r="AD30" s="168">
        <f t="shared" si="10"/>
        <v>19680931</v>
      </c>
      <c r="AE30" s="168">
        <f t="shared" si="10"/>
        <v>21541466</v>
      </c>
      <c r="AF30" s="168">
        <f t="shared" si="10"/>
        <v>21767466</v>
      </c>
      <c r="AG30" s="168">
        <f t="shared" si="10"/>
        <v>14878689</v>
      </c>
      <c r="AH30" s="168">
        <f t="shared" si="10"/>
        <v>117367577</v>
      </c>
      <c r="AI30" s="168">
        <f t="shared" si="10"/>
        <v>140729977</v>
      </c>
      <c r="AJ30" s="168">
        <f t="shared" si="10"/>
        <v>97917982</v>
      </c>
      <c r="AK30" s="168">
        <f t="shared" si="10"/>
        <v>30265425</v>
      </c>
      <c r="AL30" s="168">
        <f t="shared" si="10"/>
        <v>30794290</v>
      </c>
      <c r="AM30" s="168">
        <f t="shared" si="10"/>
        <v>26566712</v>
      </c>
      <c r="AN30" s="168">
        <f t="shared" si="10"/>
        <v>209188145</v>
      </c>
      <c r="AO30" s="168">
        <f t="shared" si="10"/>
        <v>227468690</v>
      </c>
      <c r="AP30" s="168">
        <f t="shared" si="10"/>
        <v>200737609</v>
      </c>
      <c r="AQ30" s="168">
        <f t="shared" si="10"/>
        <v>306398958</v>
      </c>
      <c r="AR30" s="168">
        <f t="shared" si="10"/>
        <v>373531885</v>
      </c>
      <c r="AS30" s="168">
        <f t="shared" si="10"/>
        <v>265042006</v>
      </c>
      <c r="AT30" s="168">
        <f t="shared" si="10"/>
        <v>15966712</v>
      </c>
      <c r="AU30" s="168">
        <f t="shared" si="10"/>
        <v>25815149</v>
      </c>
      <c r="AV30" s="168">
        <f t="shared" si="10"/>
        <v>16186349</v>
      </c>
      <c r="AW30" s="168">
        <f t="shared" si="10"/>
        <v>11608829</v>
      </c>
      <c r="AX30" s="168">
        <f t="shared" si="10"/>
        <v>11832947</v>
      </c>
      <c r="AY30" s="168">
        <f t="shared" si="10"/>
        <v>2833975</v>
      </c>
      <c r="AZ30" s="168">
        <f t="shared" si="10"/>
        <v>0</v>
      </c>
      <c r="BA30" s="168">
        <f t="shared" si="10"/>
        <v>0</v>
      </c>
      <c r="BB30" s="168">
        <f t="shared" si="10"/>
        <v>0</v>
      </c>
      <c r="BC30" s="168">
        <f t="shared" si="10"/>
        <v>2159000</v>
      </c>
      <c r="BD30" s="168">
        <f t="shared" si="10"/>
        <v>2801370</v>
      </c>
      <c r="BE30" s="168">
        <f t="shared" si="10"/>
        <v>2801370</v>
      </c>
      <c r="BF30" s="168">
        <f t="shared" si="10"/>
        <v>6432074</v>
      </c>
      <c r="BG30" s="168">
        <f t="shared" si="10"/>
        <v>15653064</v>
      </c>
      <c r="BH30" s="168">
        <f t="shared" si="10"/>
        <v>13541494</v>
      </c>
      <c r="BI30" s="168">
        <f t="shared" si="10"/>
        <v>1082738514</v>
      </c>
      <c r="BJ30" s="168">
        <f t="shared" si="10"/>
        <v>1269831138</v>
      </c>
      <c r="BK30" s="168">
        <f t="shared" si="10"/>
        <v>966502833</v>
      </c>
      <c r="BL30" s="80">
        <f t="shared" si="2"/>
        <v>869781273</v>
      </c>
      <c r="BM30" s="80">
        <f t="shared" si="3"/>
        <v>96721560</v>
      </c>
      <c r="BN30" s="80">
        <f t="shared" si="4"/>
        <v>0</v>
      </c>
    </row>
    <row r="31" spans="1:66" ht="21.75" customHeight="1" x14ac:dyDescent="0.25">
      <c r="A31" s="25" t="s">
        <v>263</v>
      </c>
      <c r="B31" s="27" t="s">
        <v>52</v>
      </c>
      <c r="C31" s="31" t="s">
        <v>212</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9">
        <v>85000000</v>
      </c>
      <c r="AI31" s="169">
        <v>107232400</v>
      </c>
      <c r="AJ31" s="169">
        <v>107232400</v>
      </c>
      <c r="AK31" s="169">
        <v>2000000</v>
      </c>
      <c r="AL31" s="169">
        <v>2000000</v>
      </c>
      <c r="AM31" s="169">
        <v>1992000</v>
      </c>
      <c r="AN31" s="169"/>
      <c r="AO31" s="169"/>
      <c r="AP31" s="169"/>
      <c r="AQ31" s="169"/>
      <c r="AR31" s="169"/>
      <c r="AS31" s="169"/>
      <c r="AT31" s="169"/>
      <c r="AU31" s="169"/>
      <c r="AV31" s="169"/>
      <c r="AW31" s="169"/>
      <c r="AX31" s="169"/>
      <c r="AY31" s="169"/>
      <c r="AZ31" s="167"/>
      <c r="BA31" s="167"/>
      <c r="BB31" s="167"/>
      <c r="BC31" s="167"/>
      <c r="BD31" s="167"/>
      <c r="BE31" s="167"/>
      <c r="BF31" s="167"/>
      <c r="BG31" s="167"/>
      <c r="BH31" s="167"/>
      <c r="BI31" s="167">
        <f t="shared" si="0"/>
        <v>87000000</v>
      </c>
      <c r="BJ31" s="167">
        <f t="shared" si="1"/>
        <v>109232400</v>
      </c>
      <c r="BK31" s="167">
        <f t="shared" si="1"/>
        <v>109224400</v>
      </c>
      <c r="BL31" s="80">
        <f t="shared" si="2"/>
        <v>109224400</v>
      </c>
      <c r="BM31" s="80">
        <f t="shared" si="3"/>
        <v>0</v>
      </c>
      <c r="BN31" s="80">
        <f t="shared" si="4"/>
        <v>0</v>
      </c>
    </row>
    <row r="32" spans="1:66" ht="21.75" customHeight="1" x14ac:dyDescent="0.25">
      <c r="A32" s="25" t="s">
        <v>264</v>
      </c>
      <c r="B32" s="27" t="s">
        <v>223</v>
      </c>
      <c r="C32" s="31" t="s">
        <v>213</v>
      </c>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9"/>
      <c r="AI32" s="169"/>
      <c r="AJ32" s="169"/>
      <c r="AK32" s="169"/>
      <c r="AL32" s="169"/>
      <c r="AM32" s="169"/>
      <c r="AN32" s="169"/>
      <c r="AO32" s="169"/>
      <c r="AP32" s="169"/>
      <c r="AQ32" s="169"/>
      <c r="AR32" s="169"/>
      <c r="AS32" s="169"/>
      <c r="AT32" s="169"/>
      <c r="AU32" s="169"/>
      <c r="AV32" s="169"/>
      <c r="AW32" s="169"/>
      <c r="AX32" s="169"/>
      <c r="AY32" s="169"/>
      <c r="AZ32" s="167"/>
      <c r="BA32" s="167"/>
      <c r="BB32" s="167"/>
      <c r="BC32" s="167"/>
      <c r="BD32" s="167"/>
      <c r="BE32" s="167"/>
      <c r="BF32" s="167"/>
      <c r="BG32" s="167"/>
      <c r="BH32" s="167"/>
      <c r="BI32" s="167">
        <f t="shared" si="0"/>
        <v>0</v>
      </c>
      <c r="BJ32" s="167">
        <f t="shared" si="1"/>
        <v>0</v>
      </c>
      <c r="BK32" s="167">
        <f t="shared" si="1"/>
        <v>0</v>
      </c>
      <c r="BL32" s="80">
        <f t="shared" si="2"/>
        <v>0</v>
      </c>
      <c r="BM32" s="80">
        <f t="shared" si="3"/>
        <v>0</v>
      </c>
      <c r="BN32" s="80">
        <f t="shared" si="4"/>
        <v>0</v>
      </c>
    </row>
    <row r="33" spans="1:66" ht="21.75" customHeight="1" x14ac:dyDescent="0.25">
      <c r="A33" s="25" t="s">
        <v>265</v>
      </c>
      <c r="B33" s="27" t="s">
        <v>222</v>
      </c>
      <c r="C33" s="31" t="s">
        <v>214</v>
      </c>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9"/>
      <c r="AI33" s="169"/>
      <c r="AJ33" s="169"/>
      <c r="AK33" s="169"/>
      <c r="AL33" s="169"/>
      <c r="AM33" s="169"/>
      <c r="AN33" s="169"/>
      <c r="AO33" s="169"/>
      <c r="AP33" s="169"/>
      <c r="AQ33" s="169"/>
      <c r="AR33" s="169"/>
      <c r="AS33" s="169"/>
      <c r="AT33" s="169"/>
      <c r="AU33" s="169"/>
      <c r="AV33" s="169"/>
      <c r="AW33" s="169"/>
      <c r="AX33" s="169"/>
      <c r="AY33" s="169"/>
      <c r="AZ33" s="167"/>
      <c r="BA33" s="167"/>
      <c r="BB33" s="167"/>
      <c r="BC33" s="167"/>
      <c r="BD33" s="167"/>
      <c r="BE33" s="167"/>
      <c r="BF33" s="167"/>
      <c r="BG33" s="167"/>
      <c r="BH33" s="167"/>
      <c r="BI33" s="167">
        <f t="shared" si="0"/>
        <v>0</v>
      </c>
      <c r="BJ33" s="167">
        <f t="shared" si="1"/>
        <v>0</v>
      </c>
      <c r="BK33" s="167">
        <f t="shared" si="1"/>
        <v>0</v>
      </c>
      <c r="BL33" s="80">
        <f t="shared" si="2"/>
        <v>0</v>
      </c>
      <c r="BM33" s="80">
        <f t="shared" si="3"/>
        <v>0</v>
      </c>
      <c r="BN33" s="80">
        <f t="shared" si="4"/>
        <v>0</v>
      </c>
    </row>
    <row r="34" spans="1:66" ht="21.75" customHeight="1" x14ac:dyDescent="0.25">
      <c r="A34" s="25" t="s">
        <v>266</v>
      </c>
      <c r="B34" s="28" t="s">
        <v>0</v>
      </c>
      <c r="C34" s="31" t="s">
        <v>215</v>
      </c>
      <c r="D34" s="167"/>
      <c r="E34" s="167"/>
      <c r="F34" s="167"/>
      <c r="G34" s="169">
        <v>2824100</v>
      </c>
      <c r="H34" s="169">
        <v>4556156</v>
      </c>
      <c r="I34" s="169">
        <v>4556156</v>
      </c>
      <c r="J34" s="169">
        <v>5715000</v>
      </c>
      <c r="K34" s="169">
        <v>7934635</v>
      </c>
      <c r="L34" s="169">
        <v>7934635</v>
      </c>
      <c r="M34" s="169">
        <v>3000000</v>
      </c>
      <c r="N34" s="169">
        <v>2997500</v>
      </c>
      <c r="O34" s="169">
        <v>2997500</v>
      </c>
      <c r="P34" s="169">
        <v>800000</v>
      </c>
      <c r="Q34" s="169">
        <v>948140</v>
      </c>
      <c r="R34" s="169">
        <v>948140</v>
      </c>
      <c r="S34" s="167">
        <v>6200000</v>
      </c>
      <c r="T34" s="167">
        <v>7567909</v>
      </c>
      <c r="U34" s="167">
        <v>7343382</v>
      </c>
      <c r="V34" s="167"/>
      <c r="W34" s="167"/>
      <c r="X34" s="167"/>
      <c r="Y34" s="167"/>
      <c r="Z34" s="167"/>
      <c r="AA34" s="167"/>
      <c r="AB34" s="167"/>
      <c r="AC34" s="167"/>
      <c r="AD34" s="167"/>
      <c r="AE34" s="167"/>
      <c r="AF34" s="167"/>
      <c r="AG34" s="167"/>
      <c r="AH34" s="169"/>
      <c r="AI34" s="169"/>
      <c r="AJ34" s="169"/>
      <c r="AK34" s="169"/>
      <c r="AL34" s="169"/>
      <c r="AM34" s="169"/>
      <c r="AN34" s="169">
        <v>40030000</v>
      </c>
      <c r="AO34" s="169">
        <v>62090414</v>
      </c>
      <c r="AP34" s="169">
        <v>58043056</v>
      </c>
      <c r="AQ34" s="169">
        <v>84870000</v>
      </c>
      <c r="AR34" s="169">
        <v>151853326</v>
      </c>
      <c r="AS34" s="169">
        <v>122178598</v>
      </c>
      <c r="AT34" s="169">
        <v>2452000</v>
      </c>
      <c r="AU34" s="169">
        <v>8520570</v>
      </c>
      <c r="AV34" s="169">
        <v>7822658</v>
      </c>
      <c r="AW34" s="169">
        <v>3340000</v>
      </c>
      <c r="AX34" s="169">
        <v>3564118</v>
      </c>
      <c r="AY34" s="169">
        <v>3351024</v>
      </c>
      <c r="AZ34" s="167">
        <v>31791958</v>
      </c>
      <c r="BA34" s="167">
        <f>31791958-52683-24883466-6718621-137188</f>
        <v>0</v>
      </c>
      <c r="BB34" s="167"/>
      <c r="BC34" s="167">
        <v>699500</v>
      </c>
      <c r="BD34" s="167">
        <v>1056066</v>
      </c>
      <c r="BE34" s="167">
        <v>1052996</v>
      </c>
      <c r="BF34" s="167">
        <v>6450000</v>
      </c>
      <c r="BG34" s="167">
        <v>12032205</v>
      </c>
      <c r="BH34" s="167">
        <v>10108823</v>
      </c>
      <c r="BI34" s="167">
        <f t="shared" si="0"/>
        <v>188172558</v>
      </c>
      <c r="BJ34" s="167">
        <f t="shared" si="1"/>
        <v>263121039</v>
      </c>
      <c r="BK34" s="167">
        <f t="shared" si="1"/>
        <v>226336968</v>
      </c>
      <c r="BL34" s="80">
        <f t="shared" si="2"/>
        <v>222391328</v>
      </c>
      <c r="BM34" s="80">
        <f t="shared" si="3"/>
        <v>3945640</v>
      </c>
      <c r="BN34" s="80">
        <f t="shared" si="4"/>
        <v>0</v>
      </c>
    </row>
    <row r="35" spans="1:66" ht="21.75" customHeight="1" x14ac:dyDescent="0.25">
      <c r="A35" s="25" t="s">
        <v>267</v>
      </c>
      <c r="B35" s="27" t="s">
        <v>245</v>
      </c>
      <c r="C35" s="31" t="s">
        <v>216</v>
      </c>
      <c r="D35" s="167"/>
      <c r="E35" s="167"/>
      <c r="F35" s="167"/>
      <c r="G35" s="167"/>
      <c r="H35" s="167">
        <v>5000</v>
      </c>
      <c r="I35" s="167">
        <v>5000</v>
      </c>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9"/>
      <c r="AI35" s="169"/>
      <c r="AJ35" s="169"/>
      <c r="AK35" s="169"/>
      <c r="AL35" s="169"/>
      <c r="AM35" s="169"/>
      <c r="AN35" s="169"/>
      <c r="AO35" s="169"/>
      <c r="AP35" s="169"/>
      <c r="AQ35" s="169"/>
      <c r="AR35" s="169"/>
      <c r="AS35" s="169"/>
      <c r="AT35" s="169"/>
      <c r="AU35" s="169"/>
      <c r="AV35" s="169"/>
      <c r="AW35" s="169"/>
      <c r="AX35" s="169"/>
      <c r="AY35" s="169"/>
      <c r="AZ35" s="167"/>
      <c r="BA35" s="167"/>
      <c r="BB35" s="167"/>
      <c r="BC35" s="167"/>
      <c r="BD35" s="167"/>
      <c r="BE35" s="167"/>
      <c r="BF35" s="167"/>
      <c r="BG35" s="167"/>
      <c r="BH35" s="167"/>
      <c r="BI35" s="167">
        <f t="shared" si="0"/>
        <v>0</v>
      </c>
      <c r="BJ35" s="167">
        <f t="shared" si="1"/>
        <v>5000</v>
      </c>
      <c r="BK35" s="167">
        <f t="shared" si="1"/>
        <v>5000</v>
      </c>
      <c r="BL35" s="80">
        <f t="shared" si="2"/>
        <v>5000</v>
      </c>
      <c r="BM35" s="80">
        <f t="shared" si="3"/>
        <v>0</v>
      </c>
      <c r="BN35" s="80">
        <f t="shared" si="4"/>
        <v>0</v>
      </c>
    </row>
    <row r="36" spans="1:66" ht="21.75" customHeight="1" x14ac:dyDescent="0.25">
      <c r="A36" s="25" t="s">
        <v>268</v>
      </c>
      <c r="B36" s="27" t="s">
        <v>240</v>
      </c>
      <c r="C36" s="31" t="s">
        <v>217</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f t="shared" si="0"/>
        <v>0</v>
      </c>
      <c r="BJ36" s="167">
        <f t="shared" si="1"/>
        <v>0</v>
      </c>
      <c r="BK36" s="167">
        <f t="shared" si="1"/>
        <v>0</v>
      </c>
      <c r="BL36" s="80">
        <f t="shared" si="2"/>
        <v>0</v>
      </c>
      <c r="BM36" s="80">
        <f t="shared" si="3"/>
        <v>0</v>
      </c>
      <c r="BN36" s="80">
        <f t="shared" si="4"/>
        <v>0</v>
      </c>
    </row>
    <row r="37" spans="1:66" ht="21.75" customHeight="1" x14ac:dyDescent="0.25">
      <c r="A37" s="25" t="s">
        <v>269</v>
      </c>
      <c r="B37" s="27" t="s">
        <v>241</v>
      </c>
      <c r="C37" s="31" t="s">
        <v>218</v>
      </c>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f t="shared" si="0"/>
        <v>0</v>
      </c>
      <c r="BJ37" s="167">
        <f t="shared" si="1"/>
        <v>0</v>
      </c>
      <c r="BK37" s="167">
        <f t="shared" si="1"/>
        <v>0</v>
      </c>
      <c r="BL37" s="80">
        <f t="shared" si="2"/>
        <v>0</v>
      </c>
      <c r="BM37" s="80">
        <f t="shared" si="3"/>
        <v>0</v>
      </c>
      <c r="BN37" s="80">
        <f t="shared" si="4"/>
        <v>0</v>
      </c>
    </row>
    <row r="38" spans="1:66" ht="21.75" customHeight="1" x14ac:dyDescent="0.25">
      <c r="A38" s="25" t="s">
        <v>270</v>
      </c>
      <c r="B38" s="28" t="s">
        <v>242</v>
      </c>
      <c r="C38" s="31" t="s">
        <v>219</v>
      </c>
      <c r="D38" s="167">
        <f>+D31+D32+D33+D34+D35+D36+D37</f>
        <v>0</v>
      </c>
      <c r="E38" s="167">
        <f t="shared" ref="E38:BK38" si="11">+E31+E32+E33+E34+E35+E36+E37</f>
        <v>0</v>
      </c>
      <c r="F38" s="167"/>
      <c r="G38" s="167">
        <f t="shared" si="11"/>
        <v>2824100</v>
      </c>
      <c r="H38" s="167">
        <f t="shared" si="11"/>
        <v>4561156</v>
      </c>
      <c r="I38" s="167">
        <f t="shared" si="11"/>
        <v>4561156</v>
      </c>
      <c r="J38" s="167">
        <f t="shared" si="11"/>
        <v>5715000</v>
      </c>
      <c r="K38" s="167">
        <f t="shared" si="11"/>
        <v>7934635</v>
      </c>
      <c r="L38" s="167">
        <f t="shared" si="11"/>
        <v>7934635</v>
      </c>
      <c r="M38" s="167">
        <f t="shared" si="11"/>
        <v>3000000</v>
      </c>
      <c r="N38" s="167">
        <f t="shared" si="11"/>
        <v>2997500</v>
      </c>
      <c r="O38" s="167">
        <f t="shared" si="11"/>
        <v>2997500</v>
      </c>
      <c r="P38" s="167">
        <f t="shared" si="11"/>
        <v>800000</v>
      </c>
      <c r="Q38" s="167">
        <f t="shared" si="11"/>
        <v>948140</v>
      </c>
      <c r="R38" s="167">
        <f t="shared" si="11"/>
        <v>948140</v>
      </c>
      <c r="S38" s="167">
        <f t="shared" si="11"/>
        <v>6200000</v>
      </c>
      <c r="T38" s="167">
        <f t="shared" si="11"/>
        <v>7567909</v>
      </c>
      <c r="U38" s="167">
        <f t="shared" si="11"/>
        <v>7343382</v>
      </c>
      <c r="V38" s="167">
        <f t="shared" si="11"/>
        <v>0</v>
      </c>
      <c r="W38" s="167">
        <f t="shared" si="11"/>
        <v>0</v>
      </c>
      <c r="X38" s="167">
        <f t="shared" si="11"/>
        <v>0</v>
      </c>
      <c r="Y38" s="167">
        <f t="shared" si="11"/>
        <v>0</v>
      </c>
      <c r="Z38" s="167">
        <f t="shared" si="11"/>
        <v>0</v>
      </c>
      <c r="AA38" s="167">
        <f t="shared" si="11"/>
        <v>0</v>
      </c>
      <c r="AB38" s="167">
        <f t="shared" si="11"/>
        <v>0</v>
      </c>
      <c r="AC38" s="167">
        <f t="shared" si="11"/>
        <v>0</v>
      </c>
      <c r="AD38" s="167">
        <f t="shared" si="11"/>
        <v>0</v>
      </c>
      <c r="AE38" s="167">
        <f t="shared" si="11"/>
        <v>0</v>
      </c>
      <c r="AF38" s="167">
        <f t="shared" si="11"/>
        <v>0</v>
      </c>
      <c r="AG38" s="167">
        <f t="shared" si="11"/>
        <v>0</v>
      </c>
      <c r="AH38" s="167">
        <f t="shared" si="11"/>
        <v>85000000</v>
      </c>
      <c r="AI38" s="167">
        <f t="shared" si="11"/>
        <v>107232400</v>
      </c>
      <c r="AJ38" s="167">
        <v>107232400</v>
      </c>
      <c r="AK38" s="167">
        <f t="shared" si="11"/>
        <v>2000000</v>
      </c>
      <c r="AL38" s="167">
        <f t="shared" si="11"/>
        <v>2000000</v>
      </c>
      <c r="AM38" s="167">
        <f t="shared" si="11"/>
        <v>1992000</v>
      </c>
      <c r="AN38" s="167">
        <f t="shared" si="11"/>
        <v>40030000</v>
      </c>
      <c r="AO38" s="167">
        <f t="shared" si="11"/>
        <v>62090414</v>
      </c>
      <c r="AP38" s="167">
        <f t="shared" si="11"/>
        <v>58043056</v>
      </c>
      <c r="AQ38" s="167">
        <f t="shared" si="11"/>
        <v>84870000</v>
      </c>
      <c r="AR38" s="167">
        <f t="shared" si="11"/>
        <v>151853326</v>
      </c>
      <c r="AS38" s="167">
        <f t="shared" si="11"/>
        <v>122178598</v>
      </c>
      <c r="AT38" s="167">
        <f t="shared" si="11"/>
        <v>2452000</v>
      </c>
      <c r="AU38" s="167">
        <f t="shared" si="11"/>
        <v>8520570</v>
      </c>
      <c r="AV38" s="167">
        <f t="shared" si="11"/>
        <v>7822658</v>
      </c>
      <c r="AW38" s="167">
        <f t="shared" si="11"/>
        <v>3340000</v>
      </c>
      <c r="AX38" s="167">
        <f t="shared" si="11"/>
        <v>3564118</v>
      </c>
      <c r="AY38" s="167">
        <f t="shared" si="11"/>
        <v>3351024</v>
      </c>
      <c r="AZ38" s="167">
        <f t="shared" si="11"/>
        <v>31791958</v>
      </c>
      <c r="BA38" s="167">
        <f t="shared" si="11"/>
        <v>0</v>
      </c>
      <c r="BB38" s="167">
        <f t="shared" si="11"/>
        <v>0</v>
      </c>
      <c r="BC38" s="167">
        <f t="shared" si="11"/>
        <v>699500</v>
      </c>
      <c r="BD38" s="167">
        <f t="shared" si="11"/>
        <v>1056066</v>
      </c>
      <c r="BE38" s="167">
        <f t="shared" si="11"/>
        <v>1052996</v>
      </c>
      <c r="BF38" s="167">
        <f t="shared" si="11"/>
        <v>6450000</v>
      </c>
      <c r="BG38" s="167">
        <f t="shared" si="11"/>
        <v>12032205</v>
      </c>
      <c r="BH38" s="167">
        <f t="shared" si="11"/>
        <v>10108823</v>
      </c>
      <c r="BI38" s="168">
        <f t="shared" si="11"/>
        <v>275172558</v>
      </c>
      <c r="BJ38" s="168">
        <f t="shared" si="11"/>
        <v>372358439</v>
      </c>
      <c r="BK38" s="168">
        <f t="shared" si="11"/>
        <v>335566368</v>
      </c>
      <c r="BL38" s="80">
        <f t="shared" si="2"/>
        <v>331620728</v>
      </c>
      <c r="BM38" s="80">
        <f t="shared" si="3"/>
        <v>3945640</v>
      </c>
      <c r="BN38" s="80">
        <f t="shared" si="4"/>
        <v>0</v>
      </c>
    </row>
    <row r="39" spans="1:66" ht="21.75" customHeight="1" x14ac:dyDescent="0.25">
      <c r="A39" s="25" t="s">
        <v>271</v>
      </c>
      <c r="B39" s="31" t="s">
        <v>243</v>
      </c>
      <c r="C39" s="26" t="s">
        <v>221</v>
      </c>
      <c r="D39" s="167">
        <f>SUM(D41:D45)</f>
        <v>807565956</v>
      </c>
      <c r="E39" s="167">
        <f t="shared" ref="E39:BK39" si="12">SUM(E41:E45)</f>
        <v>897472699</v>
      </c>
      <c r="F39" s="167">
        <f t="shared" si="12"/>
        <v>715045025</v>
      </c>
      <c r="G39" s="167">
        <f t="shared" si="12"/>
        <v>0</v>
      </c>
      <c r="H39" s="167">
        <f t="shared" si="12"/>
        <v>0</v>
      </c>
      <c r="I39" s="167">
        <f t="shared" si="12"/>
        <v>0</v>
      </c>
      <c r="J39" s="167">
        <f t="shared" si="12"/>
        <v>0</v>
      </c>
      <c r="K39" s="167">
        <f t="shared" si="12"/>
        <v>0</v>
      </c>
      <c r="L39" s="167">
        <f t="shared" si="12"/>
        <v>0</v>
      </c>
      <c r="M39" s="167">
        <f t="shared" si="12"/>
        <v>0</v>
      </c>
      <c r="N39" s="167">
        <f t="shared" si="12"/>
        <v>0</v>
      </c>
      <c r="O39" s="167">
        <f t="shared" si="12"/>
        <v>0</v>
      </c>
      <c r="P39" s="167">
        <f t="shared" si="12"/>
        <v>0</v>
      </c>
      <c r="Q39" s="167">
        <f t="shared" si="12"/>
        <v>0</v>
      </c>
      <c r="R39" s="167">
        <f t="shared" si="12"/>
        <v>0</v>
      </c>
      <c r="S39" s="167">
        <f t="shared" si="12"/>
        <v>0</v>
      </c>
      <c r="T39" s="167">
        <f t="shared" si="12"/>
        <v>0</v>
      </c>
      <c r="U39" s="167">
        <f t="shared" si="12"/>
        <v>0</v>
      </c>
      <c r="V39" s="167">
        <f t="shared" si="12"/>
        <v>0</v>
      </c>
      <c r="W39" s="167">
        <f t="shared" si="12"/>
        <v>0</v>
      </c>
      <c r="X39" s="167">
        <f t="shared" si="12"/>
        <v>0</v>
      </c>
      <c r="Y39" s="167">
        <f t="shared" si="12"/>
        <v>0</v>
      </c>
      <c r="Z39" s="167">
        <f t="shared" si="12"/>
        <v>0</v>
      </c>
      <c r="AA39" s="167">
        <f t="shared" si="12"/>
        <v>0</v>
      </c>
      <c r="AB39" s="167">
        <f t="shared" si="12"/>
        <v>0</v>
      </c>
      <c r="AC39" s="167">
        <f t="shared" si="12"/>
        <v>0</v>
      </c>
      <c r="AD39" s="167">
        <f t="shared" si="12"/>
        <v>0</v>
      </c>
      <c r="AE39" s="167">
        <f t="shared" si="12"/>
        <v>0</v>
      </c>
      <c r="AF39" s="167">
        <f t="shared" si="12"/>
        <v>0</v>
      </c>
      <c r="AG39" s="167">
        <f t="shared" si="12"/>
        <v>0</v>
      </c>
      <c r="AH39" s="167">
        <f t="shared" si="12"/>
        <v>0</v>
      </c>
      <c r="AI39" s="167">
        <f t="shared" si="12"/>
        <v>0</v>
      </c>
      <c r="AJ39" s="167">
        <f t="shared" si="12"/>
        <v>0</v>
      </c>
      <c r="AK39" s="167">
        <f t="shared" si="12"/>
        <v>0</v>
      </c>
      <c r="AL39" s="167">
        <f t="shared" si="12"/>
        <v>0</v>
      </c>
      <c r="AM39" s="167">
        <f t="shared" si="12"/>
        <v>0</v>
      </c>
      <c r="AN39" s="167">
        <f t="shared" si="12"/>
        <v>0</v>
      </c>
      <c r="AO39" s="167">
        <f t="shared" si="12"/>
        <v>0</v>
      </c>
      <c r="AP39" s="167">
        <f t="shared" si="12"/>
        <v>0</v>
      </c>
      <c r="AQ39" s="167">
        <f t="shared" si="12"/>
        <v>0</v>
      </c>
      <c r="AR39" s="167">
        <f t="shared" si="12"/>
        <v>0</v>
      </c>
      <c r="AS39" s="167">
        <f t="shared" si="12"/>
        <v>0</v>
      </c>
      <c r="AT39" s="167">
        <f t="shared" si="12"/>
        <v>0</v>
      </c>
      <c r="AU39" s="167">
        <f t="shared" si="12"/>
        <v>0</v>
      </c>
      <c r="AV39" s="167">
        <f t="shared" si="12"/>
        <v>0</v>
      </c>
      <c r="AW39" s="167">
        <f t="shared" si="12"/>
        <v>0</v>
      </c>
      <c r="AX39" s="167">
        <f t="shared" si="12"/>
        <v>0</v>
      </c>
      <c r="AY39" s="167">
        <f t="shared" si="12"/>
        <v>0</v>
      </c>
      <c r="AZ39" s="167">
        <f t="shared" si="12"/>
        <v>0</v>
      </c>
      <c r="BA39" s="167">
        <f t="shared" si="12"/>
        <v>0</v>
      </c>
      <c r="BB39" s="167">
        <f t="shared" si="12"/>
        <v>0</v>
      </c>
      <c r="BC39" s="167">
        <f t="shared" si="12"/>
        <v>0</v>
      </c>
      <c r="BD39" s="167">
        <f t="shared" si="12"/>
        <v>0</v>
      </c>
      <c r="BE39" s="167">
        <f t="shared" si="12"/>
        <v>0</v>
      </c>
      <c r="BF39" s="167">
        <f t="shared" si="12"/>
        <v>0</v>
      </c>
      <c r="BG39" s="167">
        <f t="shared" si="12"/>
        <v>0</v>
      </c>
      <c r="BH39" s="167">
        <f t="shared" si="12"/>
        <v>0</v>
      </c>
      <c r="BI39" s="167">
        <f t="shared" si="12"/>
        <v>807565956</v>
      </c>
      <c r="BJ39" s="167">
        <f t="shared" si="12"/>
        <v>897472699</v>
      </c>
      <c r="BK39" s="167">
        <f t="shared" si="12"/>
        <v>715045025</v>
      </c>
      <c r="BL39" s="80">
        <f t="shared" si="2"/>
        <v>715045025</v>
      </c>
      <c r="BM39" s="80">
        <f t="shared" si="3"/>
        <v>0</v>
      </c>
      <c r="BN39" s="80">
        <f t="shared" si="4"/>
        <v>0</v>
      </c>
    </row>
    <row r="40" spans="1:66" ht="21.75" customHeight="1" x14ac:dyDescent="0.25">
      <c r="A40" s="25" t="s">
        <v>272</v>
      </c>
      <c r="B40" s="90" t="s">
        <v>533</v>
      </c>
      <c r="C40" s="26"/>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f t="shared" si="0"/>
        <v>0</v>
      </c>
      <c r="BJ40" s="167">
        <f t="shared" si="1"/>
        <v>0</v>
      </c>
      <c r="BK40" s="167">
        <f t="shared" si="1"/>
        <v>0</v>
      </c>
      <c r="BL40" s="80">
        <f t="shared" si="2"/>
        <v>0</v>
      </c>
      <c r="BM40" s="80">
        <f t="shared" si="3"/>
        <v>0</v>
      </c>
      <c r="BN40" s="80">
        <f t="shared" si="4"/>
        <v>0</v>
      </c>
    </row>
    <row r="41" spans="1:66" ht="21.75" customHeight="1" x14ac:dyDescent="0.25">
      <c r="A41" s="25" t="s">
        <v>273</v>
      </c>
      <c r="B41" s="32" t="s">
        <v>768</v>
      </c>
      <c r="C41" s="30"/>
      <c r="D41" s="167">
        <f>2952098+12644817</f>
        <v>15596915</v>
      </c>
      <c r="E41" s="167">
        <f>2952098+12644817+63201781</f>
        <v>78798696</v>
      </c>
      <c r="F41" s="167">
        <v>78798696</v>
      </c>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f t="shared" si="0"/>
        <v>15596915</v>
      </c>
      <c r="BJ41" s="167">
        <f t="shared" si="1"/>
        <v>78798696</v>
      </c>
      <c r="BK41" s="167">
        <f t="shared" si="1"/>
        <v>78798696</v>
      </c>
      <c r="BL41" s="80">
        <f t="shared" si="2"/>
        <v>78798696</v>
      </c>
      <c r="BM41" s="80">
        <f t="shared" si="3"/>
        <v>0</v>
      </c>
      <c r="BN41" s="80">
        <f t="shared" si="4"/>
        <v>0</v>
      </c>
    </row>
    <row r="42" spans="1:66" ht="21.75" customHeight="1" x14ac:dyDescent="0.25">
      <c r="A42" s="25" t="s">
        <v>277</v>
      </c>
      <c r="B42" s="32" t="s">
        <v>769</v>
      </c>
      <c r="C42" s="30"/>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f t="shared" si="0"/>
        <v>0</v>
      </c>
      <c r="BJ42" s="167">
        <f t="shared" si="1"/>
        <v>0</v>
      </c>
      <c r="BK42" s="167">
        <f t="shared" si="1"/>
        <v>0</v>
      </c>
      <c r="BL42" s="80">
        <f t="shared" si="2"/>
        <v>0</v>
      </c>
      <c r="BM42" s="80">
        <f t="shared" si="3"/>
        <v>0</v>
      </c>
      <c r="BN42" s="80">
        <f t="shared" si="4"/>
        <v>0</v>
      </c>
    </row>
    <row r="43" spans="1:66" ht="21.75" customHeight="1" x14ac:dyDescent="0.25">
      <c r="A43" s="25" t="s">
        <v>278</v>
      </c>
      <c r="B43" s="32" t="s">
        <v>506</v>
      </c>
      <c r="C43" s="30"/>
      <c r="D43" s="167">
        <f>BI28-BI31-BI33-BI34-BI36-BI41</f>
        <v>781952551</v>
      </c>
      <c r="E43" s="167">
        <f>BJ28-BJ31-BJ33-BJ34-BJ36-BJ41</f>
        <v>809984795</v>
      </c>
      <c r="F43" s="167">
        <f>636246329-F44</f>
        <v>627557121</v>
      </c>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f t="shared" si="0"/>
        <v>781952551</v>
      </c>
      <c r="BJ43" s="167">
        <f t="shared" si="1"/>
        <v>809984795</v>
      </c>
      <c r="BK43" s="167">
        <f t="shared" si="1"/>
        <v>627557121</v>
      </c>
      <c r="BL43" s="80">
        <f t="shared" si="2"/>
        <v>627557121</v>
      </c>
      <c r="BM43" s="80">
        <f t="shared" si="3"/>
        <v>0</v>
      </c>
      <c r="BN43" s="80">
        <f t="shared" si="4"/>
        <v>0</v>
      </c>
    </row>
    <row r="44" spans="1:66" ht="21.75" customHeight="1" x14ac:dyDescent="0.25">
      <c r="A44" s="25" t="s">
        <v>279</v>
      </c>
      <c r="B44" s="32" t="s">
        <v>507</v>
      </c>
      <c r="C44" s="30"/>
      <c r="D44" s="167">
        <f>BI29-BI32-BI35-BI37-BI42</f>
        <v>10016490</v>
      </c>
      <c r="E44" s="167">
        <f>BJ29-BJ32-BJ35-BJ37-BJ42</f>
        <v>8689208</v>
      </c>
      <c r="F44" s="167">
        <v>8689208</v>
      </c>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f t="shared" si="0"/>
        <v>10016490</v>
      </c>
      <c r="BJ44" s="167">
        <f t="shared" si="1"/>
        <v>8689208</v>
      </c>
      <c r="BK44" s="167">
        <f t="shared" si="1"/>
        <v>8689208</v>
      </c>
      <c r="BL44" s="80">
        <f t="shared" si="2"/>
        <v>8689208</v>
      </c>
      <c r="BM44" s="80">
        <f t="shared" si="3"/>
        <v>0</v>
      </c>
      <c r="BN44" s="80">
        <f t="shared" si="4"/>
        <v>0</v>
      </c>
    </row>
    <row r="45" spans="1:66" ht="21.75" customHeight="1" x14ac:dyDescent="0.25">
      <c r="A45" s="25" t="s">
        <v>280</v>
      </c>
      <c r="B45" s="32" t="s">
        <v>542</v>
      </c>
      <c r="C45" s="30"/>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f t="shared" si="0"/>
        <v>0</v>
      </c>
      <c r="BJ45" s="167">
        <f t="shared" si="1"/>
        <v>0</v>
      </c>
      <c r="BK45" s="167">
        <f t="shared" si="1"/>
        <v>0</v>
      </c>
      <c r="BL45" s="80">
        <f t="shared" si="2"/>
        <v>0</v>
      </c>
      <c r="BM45" s="80">
        <f t="shared" si="3"/>
        <v>0</v>
      </c>
      <c r="BN45" s="80">
        <f t="shared" si="4"/>
        <v>0</v>
      </c>
    </row>
    <row r="46" spans="1:66" ht="21.75" customHeight="1" x14ac:dyDescent="0.25">
      <c r="A46" s="25" t="s">
        <v>281</v>
      </c>
      <c r="B46" s="222" t="s">
        <v>741</v>
      </c>
      <c r="C46" s="30"/>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f t="shared" si="0"/>
        <v>0</v>
      </c>
      <c r="BJ46" s="167">
        <f t="shared" si="1"/>
        <v>0</v>
      </c>
      <c r="BK46" s="167">
        <f t="shared" si="1"/>
        <v>0</v>
      </c>
      <c r="BL46" s="80">
        <f t="shared" si="2"/>
        <v>0</v>
      </c>
      <c r="BM46" s="80">
        <f t="shared" si="3"/>
        <v>0</v>
      </c>
      <c r="BN46" s="80">
        <f t="shared" si="4"/>
        <v>0</v>
      </c>
    </row>
    <row r="47" spans="1:66" ht="21.75" customHeight="1" x14ac:dyDescent="0.25">
      <c r="A47" s="25" t="s">
        <v>282</v>
      </c>
      <c r="B47" s="33" t="s">
        <v>109</v>
      </c>
      <c r="C47" s="26"/>
      <c r="D47" s="168">
        <f>+D31+D33+D34+D36+D41+D43</f>
        <v>797549466</v>
      </c>
      <c r="E47" s="168">
        <f>+E31+E33+E34+E36+E41+E43</f>
        <v>888783491</v>
      </c>
      <c r="F47" s="168">
        <f t="shared" ref="F47:BK47" si="13">+F31+F33+F34+F36+F41+F43</f>
        <v>706355817</v>
      </c>
      <c r="G47" s="168">
        <f t="shared" si="13"/>
        <v>2824100</v>
      </c>
      <c r="H47" s="168">
        <f t="shared" si="13"/>
        <v>4556156</v>
      </c>
      <c r="I47" s="168">
        <f t="shared" si="13"/>
        <v>4556156</v>
      </c>
      <c r="J47" s="168">
        <f t="shared" si="13"/>
        <v>5715000</v>
      </c>
      <c r="K47" s="168">
        <f t="shared" si="13"/>
        <v>7934635</v>
      </c>
      <c r="L47" s="168">
        <f t="shared" si="13"/>
        <v>7934635</v>
      </c>
      <c r="M47" s="168">
        <f t="shared" si="13"/>
        <v>3000000</v>
      </c>
      <c r="N47" s="168">
        <f t="shared" si="13"/>
        <v>2997500</v>
      </c>
      <c r="O47" s="168">
        <f t="shared" si="13"/>
        <v>2997500</v>
      </c>
      <c r="P47" s="168">
        <f t="shared" si="13"/>
        <v>800000</v>
      </c>
      <c r="Q47" s="168">
        <f t="shared" si="13"/>
        <v>948140</v>
      </c>
      <c r="R47" s="168">
        <f t="shared" si="13"/>
        <v>948140</v>
      </c>
      <c r="S47" s="168">
        <f t="shared" si="13"/>
        <v>6200000</v>
      </c>
      <c r="T47" s="168">
        <f t="shared" si="13"/>
        <v>7567909</v>
      </c>
      <c r="U47" s="168">
        <f t="shared" si="13"/>
        <v>7343382</v>
      </c>
      <c r="V47" s="168">
        <f t="shared" si="13"/>
        <v>0</v>
      </c>
      <c r="W47" s="168">
        <f t="shared" si="13"/>
        <v>0</v>
      </c>
      <c r="X47" s="168">
        <f t="shared" si="13"/>
        <v>0</v>
      </c>
      <c r="Y47" s="168">
        <f t="shared" si="13"/>
        <v>0</v>
      </c>
      <c r="Z47" s="168">
        <f t="shared" si="13"/>
        <v>0</v>
      </c>
      <c r="AA47" s="168">
        <f t="shared" si="13"/>
        <v>0</v>
      </c>
      <c r="AB47" s="168">
        <f t="shared" si="13"/>
        <v>0</v>
      </c>
      <c r="AC47" s="168">
        <f t="shared" si="13"/>
        <v>0</v>
      </c>
      <c r="AD47" s="168">
        <f t="shared" si="13"/>
        <v>0</v>
      </c>
      <c r="AE47" s="168">
        <f t="shared" si="13"/>
        <v>0</v>
      </c>
      <c r="AF47" s="168">
        <f t="shared" si="13"/>
        <v>0</v>
      </c>
      <c r="AG47" s="168">
        <f t="shared" si="13"/>
        <v>0</v>
      </c>
      <c r="AH47" s="168">
        <f t="shared" si="13"/>
        <v>85000000</v>
      </c>
      <c r="AI47" s="168">
        <f t="shared" si="13"/>
        <v>107232400</v>
      </c>
      <c r="AJ47" s="168">
        <f t="shared" si="13"/>
        <v>107232400</v>
      </c>
      <c r="AK47" s="168">
        <f t="shared" si="13"/>
        <v>2000000</v>
      </c>
      <c r="AL47" s="168">
        <f t="shared" si="13"/>
        <v>2000000</v>
      </c>
      <c r="AM47" s="168">
        <f t="shared" si="13"/>
        <v>1992000</v>
      </c>
      <c r="AN47" s="168">
        <f t="shared" si="13"/>
        <v>40030000</v>
      </c>
      <c r="AO47" s="168">
        <f t="shared" si="13"/>
        <v>62090414</v>
      </c>
      <c r="AP47" s="168">
        <f t="shared" si="13"/>
        <v>58043056</v>
      </c>
      <c r="AQ47" s="168">
        <f t="shared" si="13"/>
        <v>84870000</v>
      </c>
      <c r="AR47" s="168">
        <f t="shared" si="13"/>
        <v>151853326</v>
      </c>
      <c r="AS47" s="168">
        <f t="shared" si="13"/>
        <v>122178598</v>
      </c>
      <c r="AT47" s="168">
        <f t="shared" si="13"/>
        <v>2452000</v>
      </c>
      <c r="AU47" s="168">
        <f t="shared" si="13"/>
        <v>8520570</v>
      </c>
      <c r="AV47" s="168">
        <f t="shared" si="13"/>
        <v>7822658</v>
      </c>
      <c r="AW47" s="168">
        <f t="shared" si="13"/>
        <v>3340000</v>
      </c>
      <c r="AX47" s="168">
        <f t="shared" si="13"/>
        <v>3564118</v>
      </c>
      <c r="AY47" s="168">
        <f t="shared" si="13"/>
        <v>3351024</v>
      </c>
      <c r="AZ47" s="168">
        <f t="shared" si="13"/>
        <v>31791958</v>
      </c>
      <c r="BA47" s="168">
        <f t="shared" si="13"/>
        <v>0</v>
      </c>
      <c r="BB47" s="168">
        <f t="shared" si="13"/>
        <v>0</v>
      </c>
      <c r="BC47" s="168">
        <f t="shared" si="13"/>
        <v>699500</v>
      </c>
      <c r="BD47" s="168">
        <f t="shared" si="13"/>
        <v>1056066</v>
      </c>
      <c r="BE47" s="168">
        <f t="shared" si="13"/>
        <v>1052996</v>
      </c>
      <c r="BF47" s="168">
        <f t="shared" si="13"/>
        <v>6450000</v>
      </c>
      <c r="BG47" s="168">
        <f t="shared" si="13"/>
        <v>12032205</v>
      </c>
      <c r="BH47" s="168">
        <f t="shared" si="13"/>
        <v>10108823</v>
      </c>
      <c r="BI47" s="168">
        <f t="shared" si="13"/>
        <v>1072722024</v>
      </c>
      <c r="BJ47" s="168">
        <f t="shared" si="13"/>
        <v>1261136930</v>
      </c>
      <c r="BK47" s="168">
        <f t="shared" si="13"/>
        <v>1041917185</v>
      </c>
      <c r="BL47" s="80">
        <f t="shared" si="2"/>
        <v>1037971545</v>
      </c>
      <c r="BM47" s="80">
        <f t="shared" si="3"/>
        <v>3945640</v>
      </c>
      <c r="BN47" s="80">
        <f t="shared" si="4"/>
        <v>0</v>
      </c>
    </row>
    <row r="48" spans="1:66" ht="21.75" customHeight="1" x14ac:dyDescent="0.25">
      <c r="A48" s="25" t="s">
        <v>283</v>
      </c>
      <c r="B48" s="33" t="s">
        <v>110</v>
      </c>
      <c r="C48" s="26"/>
      <c r="D48" s="168">
        <f>+D32+D35+D37+D42+D429+D45+D44</f>
        <v>10016490</v>
      </c>
      <c r="E48" s="168">
        <f t="shared" ref="E48:BK48" si="14">+E32+E35+E37+E42+E429+E45+E44</f>
        <v>8689208</v>
      </c>
      <c r="F48" s="168">
        <f t="shared" si="14"/>
        <v>8689208</v>
      </c>
      <c r="G48" s="168">
        <f t="shared" si="14"/>
        <v>0</v>
      </c>
      <c r="H48" s="168">
        <f t="shared" si="14"/>
        <v>5000</v>
      </c>
      <c r="I48" s="168">
        <f t="shared" si="14"/>
        <v>5000</v>
      </c>
      <c r="J48" s="168">
        <f t="shared" si="14"/>
        <v>0</v>
      </c>
      <c r="K48" s="168">
        <f t="shared" si="14"/>
        <v>0</v>
      </c>
      <c r="L48" s="168">
        <f t="shared" si="14"/>
        <v>0</v>
      </c>
      <c r="M48" s="168">
        <f t="shared" si="14"/>
        <v>0</v>
      </c>
      <c r="N48" s="168">
        <f t="shared" si="14"/>
        <v>0</v>
      </c>
      <c r="O48" s="168">
        <f t="shared" si="14"/>
        <v>0</v>
      </c>
      <c r="P48" s="168">
        <f t="shared" si="14"/>
        <v>0</v>
      </c>
      <c r="Q48" s="168">
        <f t="shared" si="14"/>
        <v>0</v>
      </c>
      <c r="R48" s="168">
        <f t="shared" si="14"/>
        <v>0</v>
      </c>
      <c r="S48" s="168">
        <f t="shared" si="14"/>
        <v>0</v>
      </c>
      <c r="T48" s="168">
        <f t="shared" si="14"/>
        <v>0</v>
      </c>
      <c r="U48" s="168">
        <f t="shared" si="14"/>
        <v>0</v>
      </c>
      <c r="V48" s="168">
        <f t="shared" si="14"/>
        <v>0</v>
      </c>
      <c r="W48" s="168">
        <f t="shared" si="14"/>
        <v>0</v>
      </c>
      <c r="X48" s="168">
        <f t="shared" si="14"/>
        <v>0</v>
      </c>
      <c r="Y48" s="168">
        <f t="shared" si="14"/>
        <v>0</v>
      </c>
      <c r="Z48" s="168">
        <f t="shared" si="14"/>
        <v>0</v>
      </c>
      <c r="AA48" s="168">
        <f t="shared" si="14"/>
        <v>0</v>
      </c>
      <c r="AB48" s="168">
        <f t="shared" si="14"/>
        <v>0</v>
      </c>
      <c r="AC48" s="168">
        <f t="shared" si="14"/>
        <v>0</v>
      </c>
      <c r="AD48" s="168">
        <f t="shared" si="14"/>
        <v>0</v>
      </c>
      <c r="AE48" s="168">
        <f t="shared" si="14"/>
        <v>0</v>
      </c>
      <c r="AF48" s="168">
        <f t="shared" si="14"/>
        <v>0</v>
      </c>
      <c r="AG48" s="168">
        <f t="shared" si="14"/>
        <v>0</v>
      </c>
      <c r="AH48" s="168">
        <f t="shared" si="14"/>
        <v>0</v>
      </c>
      <c r="AI48" s="168">
        <f t="shared" si="14"/>
        <v>0</v>
      </c>
      <c r="AJ48" s="168">
        <f t="shared" si="14"/>
        <v>0</v>
      </c>
      <c r="AK48" s="168">
        <f t="shared" si="14"/>
        <v>0</v>
      </c>
      <c r="AL48" s="168">
        <f t="shared" si="14"/>
        <v>0</v>
      </c>
      <c r="AM48" s="168">
        <f t="shared" si="14"/>
        <v>0</v>
      </c>
      <c r="AN48" s="168">
        <f t="shared" si="14"/>
        <v>0</v>
      </c>
      <c r="AO48" s="168">
        <f t="shared" si="14"/>
        <v>0</v>
      </c>
      <c r="AP48" s="168">
        <f t="shared" si="14"/>
        <v>0</v>
      </c>
      <c r="AQ48" s="168">
        <f t="shared" si="14"/>
        <v>0</v>
      </c>
      <c r="AR48" s="168">
        <f t="shared" si="14"/>
        <v>0</v>
      </c>
      <c r="AS48" s="168">
        <f t="shared" si="14"/>
        <v>0</v>
      </c>
      <c r="AT48" s="168">
        <f t="shared" si="14"/>
        <v>0</v>
      </c>
      <c r="AU48" s="168">
        <f t="shared" si="14"/>
        <v>0</v>
      </c>
      <c r="AV48" s="168">
        <f t="shared" si="14"/>
        <v>0</v>
      </c>
      <c r="AW48" s="168">
        <f t="shared" si="14"/>
        <v>0</v>
      </c>
      <c r="AX48" s="168">
        <f t="shared" si="14"/>
        <v>0</v>
      </c>
      <c r="AY48" s="168">
        <f t="shared" si="14"/>
        <v>0</v>
      </c>
      <c r="AZ48" s="168">
        <f t="shared" si="14"/>
        <v>0</v>
      </c>
      <c r="BA48" s="168">
        <f t="shared" si="14"/>
        <v>0</v>
      </c>
      <c r="BB48" s="168">
        <f t="shared" si="14"/>
        <v>0</v>
      </c>
      <c r="BC48" s="168">
        <f t="shared" si="14"/>
        <v>0</v>
      </c>
      <c r="BD48" s="168">
        <f t="shared" si="14"/>
        <v>0</v>
      </c>
      <c r="BE48" s="168">
        <f t="shared" si="14"/>
        <v>0</v>
      </c>
      <c r="BF48" s="168">
        <f t="shared" si="14"/>
        <v>0</v>
      </c>
      <c r="BG48" s="168">
        <f t="shared" si="14"/>
        <v>0</v>
      </c>
      <c r="BH48" s="168">
        <f t="shared" si="14"/>
        <v>0</v>
      </c>
      <c r="BI48" s="168">
        <f t="shared" si="14"/>
        <v>10016490</v>
      </c>
      <c r="BJ48" s="168">
        <f t="shared" si="14"/>
        <v>8694208</v>
      </c>
      <c r="BK48" s="168">
        <f t="shared" si="14"/>
        <v>8694208</v>
      </c>
      <c r="BL48" s="80">
        <f t="shared" si="2"/>
        <v>8694208</v>
      </c>
      <c r="BM48" s="80">
        <f t="shared" si="3"/>
        <v>0</v>
      </c>
      <c r="BN48" s="80">
        <f t="shared" si="4"/>
        <v>0</v>
      </c>
    </row>
    <row r="49" spans="1:66" ht="21.75" customHeight="1" x14ac:dyDescent="0.25">
      <c r="A49" s="25" t="s">
        <v>284</v>
      </c>
      <c r="B49" s="33" t="s">
        <v>329</v>
      </c>
      <c r="C49" s="26"/>
      <c r="D49" s="168">
        <f>+D47+D48</f>
        <v>807565956</v>
      </c>
      <c r="E49" s="168">
        <f t="shared" ref="E49:BK49" si="15">+E47+E48</f>
        <v>897472699</v>
      </c>
      <c r="F49" s="168">
        <f t="shared" si="15"/>
        <v>715045025</v>
      </c>
      <c r="G49" s="168">
        <f t="shared" si="15"/>
        <v>2824100</v>
      </c>
      <c r="H49" s="168">
        <f t="shared" si="15"/>
        <v>4561156</v>
      </c>
      <c r="I49" s="168">
        <f t="shared" si="15"/>
        <v>4561156</v>
      </c>
      <c r="J49" s="168">
        <f t="shared" si="15"/>
        <v>5715000</v>
      </c>
      <c r="K49" s="168">
        <f t="shared" si="15"/>
        <v>7934635</v>
      </c>
      <c r="L49" s="168">
        <f t="shared" si="15"/>
        <v>7934635</v>
      </c>
      <c r="M49" s="168">
        <f t="shared" si="15"/>
        <v>3000000</v>
      </c>
      <c r="N49" s="168">
        <f t="shared" si="15"/>
        <v>2997500</v>
      </c>
      <c r="O49" s="168">
        <f t="shared" si="15"/>
        <v>2997500</v>
      </c>
      <c r="P49" s="168">
        <f t="shared" si="15"/>
        <v>800000</v>
      </c>
      <c r="Q49" s="168">
        <f t="shared" si="15"/>
        <v>948140</v>
      </c>
      <c r="R49" s="168">
        <f t="shared" si="15"/>
        <v>948140</v>
      </c>
      <c r="S49" s="168">
        <f t="shared" si="15"/>
        <v>6200000</v>
      </c>
      <c r="T49" s="168">
        <f t="shared" si="15"/>
        <v>7567909</v>
      </c>
      <c r="U49" s="168">
        <f t="shared" si="15"/>
        <v>7343382</v>
      </c>
      <c r="V49" s="168">
        <f t="shared" si="15"/>
        <v>0</v>
      </c>
      <c r="W49" s="168">
        <f t="shared" si="15"/>
        <v>0</v>
      </c>
      <c r="X49" s="168">
        <f t="shared" si="15"/>
        <v>0</v>
      </c>
      <c r="Y49" s="168">
        <f t="shared" si="15"/>
        <v>0</v>
      </c>
      <c r="Z49" s="168">
        <f t="shared" si="15"/>
        <v>0</v>
      </c>
      <c r="AA49" s="168">
        <f t="shared" si="15"/>
        <v>0</v>
      </c>
      <c r="AB49" s="168">
        <f t="shared" si="15"/>
        <v>0</v>
      </c>
      <c r="AC49" s="168">
        <f t="shared" si="15"/>
        <v>0</v>
      </c>
      <c r="AD49" s="168">
        <f t="shared" si="15"/>
        <v>0</v>
      </c>
      <c r="AE49" s="168">
        <f t="shared" si="15"/>
        <v>0</v>
      </c>
      <c r="AF49" s="168">
        <f t="shared" si="15"/>
        <v>0</v>
      </c>
      <c r="AG49" s="168">
        <f t="shared" si="15"/>
        <v>0</v>
      </c>
      <c r="AH49" s="168">
        <f t="shared" si="15"/>
        <v>85000000</v>
      </c>
      <c r="AI49" s="168">
        <f t="shared" si="15"/>
        <v>107232400</v>
      </c>
      <c r="AJ49" s="168">
        <f t="shared" si="15"/>
        <v>107232400</v>
      </c>
      <c r="AK49" s="168">
        <f t="shared" si="15"/>
        <v>2000000</v>
      </c>
      <c r="AL49" s="168">
        <f t="shared" si="15"/>
        <v>2000000</v>
      </c>
      <c r="AM49" s="168">
        <f t="shared" si="15"/>
        <v>1992000</v>
      </c>
      <c r="AN49" s="168">
        <f t="shared" si="15"/>
        <v>40030000</v>
      </c>
      <c r="AO49" s="168">
        <f t="shared" si="15"/>
        <v>62090414</v>
      </c>
      <c r="AP49" s="168">
        <f t="shared" si="15"/>
        <v>58043056</v>
      </c>
      <c r="AQ49" s="168">
        <f t="shared" si="15"/>
        <v>84870000</v>
      </c>
      <c r="AR49" s="168">
        <f t="shared" si="15"/>
        <v>151853326</v>
      </c>
      <c r="AS49" s="168">
        <f t="shared" si="15"/>
        <v>122178598</v>
      </c>
      <c r="AT49" s="168">
        <f t="shared" si="15"/>
        <v>2452000</v>
      </c>
      <c r="AU49" s="168">
        <f t="shared" si="15"/>
        <v>8520570</v>
      </c>
      <c r="AV49" s="168">
        <f t="shared" si="15"/>
        <v>7822658</v>
      </c>
      <c r="AW49" s="168">
        <f t="shared" si="15"/>
        <v>3340000</v>
      </c>
      <c r="AX49" s="168">
        <f t="shared" si="15"/>
        <v>3564118</v>
      </c>
      <c r="AY49" s="168">
        <f t="shared" si="15"/>
        <v>3351024</v>
      </c>
      <c r="AZ49" s="168">
        <f t="shared" si="15"/>
        <v>31791958</v>
      </c>
      <c r="BA49" s="168">
        <f t="shared" si="15"/>
        <v>0</v>
      </c>
      <c r="BB49" s="168">
        <f t="shared" si="15"/>
        <v>0</v>
      </c>
      <c r="BC49" s="168">
        <f t="shared" si="15"/>
        <v>699500</v>
      </c>
      <c r="BD49" s="168">
        <f t="shared" si="15"/>
        <v>1056066</v>
      </c>
      <c r="BE49" s="168">
        <f t="shared" si="15"/>
        <v>1052996</v>
      </c>
      <c r="BF49" s="168">
        <f t="shared" si="15"/>
        <v>6450000</v>
      </c>
      <c r="BG49" s="168">
        <f t="shared" si="15"/>
        <v>12032205</v>
      </c>
      <c r="BH49" s="168">
        <f t="shared" si="15"/>
        <v>10108823</v>
      </c>
      <c r="BI49" s="168">
        <f t="shared" si="15"/>
        <v>1082738514</v>
      </c>
      <c r="BJ49" s="168">
        <f t="shared" si="15"/>
        <v>1269831138</v>
      </c>
      <c r="BK49" s="168">
        <f t="shared" si="15"/>
        <v>1050611393</v>
      </c>
      <c r="BL49" s="80">
        <f t="shared" si="2"/>
        <v>1046665753</v>
      </c>
      <c r="BM49" s="80">
        <f t="shared" si="3"/>
        <v>3945640</v>
      </c>
      <c r="BN49" s="80">
        <f t="shared" si="4"/>
        <v>0</v>
      </c>
    </row>
    <row r="50" spans="1:66" s="764" customFormat="1" ht="21.75" customHeight="1" x14ac:dyDescent="0.25">
      <c r="A50" s="761" t="s">
        <v>285</v>
      </c>
      <c r="B50" s="296" t="s">
        <v>2075</v>
      </c>
      <c r="C50" s="763"/>
      <c r="D50" s="763"/>
      <c r="E50" s="763"/>
      <c r="F50" s="763"/>
      <c r="G50" s="763">
        <v>11</v>
      </c>
      <c r="H50" s="763">
        <v>11</v>
      </c>
      <c r="I50" s="763">
        <v>8</v>
      </c>
      <c r="J50" s="763">
        <v>1</v>
      </c>
      <c r="K50" s="763">
        <v>1</v>
      </c>
      <c r="L50" s="763">
        <v>1</v>
      </c>
      <c r="M50" s="763">
        <v>4</v>
      </c>
      <c r="N50" s="763">
        <v>4</v>
      </c>
      <c r="O50" s="763">
        <v>4.4000000000000004</v>
      </c>
      <c r="P50" s="763">
        <v>2</v>
      </c>
      <c r="Q50" s="763">
        <v>2</v>
      </c>
      <c r="R50" s="763">
        <v>2</v>
      </c>
      <c r="S50" s="763"/>
      <c r="T50" s="763"/>
      <c r="U50" s="763"/>
      <c r="V50" s="763"/>
      <c r="W50" s="763"/>
      <c r="X50" s="763"/>
      <c r="Y50" s="763">
        <v>1</v>
      </c>
      <c r="Z50" s="763">
        <v>1</v>
      </c>
      <c r="AA50" s="763">
        <v>0.8</v>
      </c>
      <c r="AB50" s="763">
        <v>2</v>
      </c>
      <c r="AC50" s="763">
        <v>2</v>
      </c>
      <c r="AD50" s="763">
        <v>2</v>
      </c>
      <c r="AE50" s="763">
        <v>2</v>
      </c>
      <c r="AF50" s="763">
        <v>2</v>
      </c>
      <c r="AG50" s="763">
        <v>2</v>
      </c>
      <c r="AH50" s="763">
        <v>10</v>
      </c>
      <c r="AI50" s="763">
        <v>10</v>
      </c>
      <c r="AJ50" s="763">
        <v>10</v>
      </c>
      <c r="AK50" s="763">
        <v>3</v>
      </c>
      <c r="AL50" s="763">
        <v>3</v>
      </c>
      <c r="AM50" s="763">
        <v>3</v>
      </c>
      <c r="AN50" s="763"/>
      <c r="AO50" s="763"/>
      <c r="AP50" s="763"/>
      <c r="AQ50" s="763">
        <v>1</v>
      </c>
      <c r="AR50" s="763">
        <v>1</v>
      </c>
      <c r="AS50" s="763">
        <v>1</v>
      </c>
      <c r="AT50" s="763"/>
      <c r="AU50" s="763"/>
      <c r="AV50" s="763"/>
      <c r="AW50" s="763"/>
      <c r="AX50" s="763"/>
      <c r="AY50" s="763"/>
      <c r="AZ50" s="763"/>
      <c r="BA50" s="763"/>
      <c r="BB50" s="763"/>
      <c r="BC50" s="763"/>
      <c r="BD50" s="763"/>
      <c r="BE50" s="763"/>
      <c r="BF50" s="763"/>
      <c r="BG50" s="763"/>
      <c r="BH50" s="763"/>
      <c r="BI50" s="763">
        <f t="shared" si="0"/>
        <v>37</v>
      </c>
      <c r="BJ50" s="763">
        <f t="shared" si="1"/>
        <v>37</v>
      </c>
      <c r="BK50" s="763">
        <f t="shared" si="1"/>
        <v>34.200000000000003</v>
      </c>
      <c r="BL50" s="764">
        <f t="shared" si="2"/>
        <v>23</v>
      </c>
      <c r="BM50" s="764">
        <f t="shared" si="3"/>
        <v>11.2</v>
      </c>
      <c r="BN50" s="764">
        <f t="shared" si="4"/>
        <v>0</v>
      </c>
    </row>
    <row r="51" spans="1:66" ht="21.75" customHeight="1" x14ac:dyDescent="0.25">
      <c r="A51" s="25" t="s">
        <v>286</v>
      </c>
      <c r="B51" s="46" t="s">
        <v>964</v>
      </c>
      <c r="C51" s="172"/>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80">
        <f t="shared" si="2"/>
        <v>0</v>
      </c>
      <c r="BM51" s="80">
        <f t="shared" si="3"/>
        <v>0</v>
      </c>
      <c r="BN51" s="80">
        <f t="shared" si="4"/>
        <v>0</v>
      </c>
    </row>
  </sheetData>
  <mergeCells count="73">
    <mergeCell ref="AW6:AY7"/>
    <mergeCell ref="AZ6:BB7"/>
    <mergeCell ref="BC6:BE7"/>
    <mergeCell ref="D6:F7"/>
    <mergeCell ref="G6:I7"/>
    <mergeCell ref="J6:L7"/>
    <mergeCell ref="M6:O7"/>
    <mergeCell ref="P6:R7"/>
    <mergeCell ref="AE6:AG7"/>
    <mergeCell ref="AH6:AJ7"/>
    <mergeCell ref="AK6:AM7"/>
    <mergeCell ref="AN6:AP7"/>
    <mergeCell ref="S6:U7"/>
    <mergeCell ref="V6:X7"/>
    <mergeCell ref="Y6:AA7"/>
    <mergeCell ref="AB6:AD7"/>
    <mergeCell ref="BF5:BH5"/>
    <mergeCell ref="BI4:BK7"/>
    <mergeCell ref="BF6:BH7"/>
    <mergeCell ref="AQ5:AS5"/>
    <mergeCell ref="AT5:AV5"/>
    <mergeCell ref="AW5:AY5"/>
    <mergeCell ref="AZ5:BB5"/>
    <mergeCell ref="BC5:BE5"/>
    <mergeCell ref="AZ4:BB4"/>
    <mergeCell ref="BC4:BE4"/>
    <mergeCell ref="BF4:BH4"/>
    <mergeCell ref="AQ4:AS4"/>
    <mergeCell ref="AT4:AV4"/>
    <mergeCell ref="AW4:AY4"/>
    <mergeCell ref="AQ6:AS7"/>
    <mergeCell ref="AT6:AV7"/>
    <mergeCell ref="D5:F5"/>
    <mergeCell ref="G5:I5"/>
    <mergeCell ref="J5:L5"/>
    <mergeCell ref="M5:O5"/>
    <mergeCell ref="P5:R5"/>
    <mergeCell ref="AN5:AP5"/>
    <mergeCell ref="AK4:AM4"/>
    <mergeCell ref="AN4:AP4"/>
    <mergeCell ref="S5:U5"/>
    <mergeCell ref="V5:X5"/>
    <mergeCell ref="Y5:AA5"/>
    <mergeCell ref="AB5:AD5"/>
    <mergeCell ref="AE5:AG5"/>
    <mergeCell ref="S4:U4"/>
    <mergeCell ref="V4:X4"/>
    <mergeCell ref="Y4:AA4"/>
    <mergeCell ref="AB4:AD4"/>
    <mergeCell ref="AE4:AG4"/>
    <mergeCell ref="AH4:AJ4"/>
    <mergeCell ref="AH5:AJ5"/>
    <mergeCell ref="AK5:AM5"/>
    <mergeCell ref="D2:I2"/>
    <mergeCell ref="J2:O2"/>
    <mergeCell ref="P2:U2"/>
    <mergeCell ref="V2:AA2"/>
    <mergeCell ref="AB2:AG2"/>
    <mergeCell ref="AH2:AM2"/>
    <mergeCell ref="AN2:AS2"/>
    <mergeCell ref="AT2:AY2"/>
    <mergeCell ref="AZ2:BE2"/>
    <mergeCell ref="BF2:BK2"/>
    <mergeCell ref="D4:F4"/>
    <mergeCell ref="G4:I4"/>
    <mergeCell ref="J4:L4"/>
    <mergeCell ref="M4:O4"/>
    <mergeCell ref="P4:R4"/>
    <mergeCell ref="A3:C3"/>
    <mergeCell ref="A4:A7"/>
    <mergeCell ref="B4:C4"/>
    <mergeCell ref="B6:C6"/>
    <mergeCell ref="B5:C5"/>
  </mergeCells>
  <phoneticPr fontId="44" type="noConversion"/>
  <printOptions horizontalCentered="1" verticalCentered="1"/>
  <pageMargins left="0.35433070866141736" right="0.35433070866141736" top="0.39370078740157483" bottom="0.39370078740157483" header="0.51181102362204722" footer="0.51181102362204722"/>
  <pageSetup paperSize="9" scale="50" orientation="portrait" verticalDpi="200" r:id="rId1"/>
  <headerFooter alignWithMargins="0">
    <oddHeader>&amp;C2022. évi zárszámadás&amp;R&amp;A</oddHeader>
    <oddFooter>&amp;C&amp;P/&amp;N</oddFooter>
  </headerFooter>
  <colBreaks count="9" manualBreakCount="9">
    <brk id="9" max="50" man="1"/>
    <brk id="15" max="50" man="1"/>
    <brk id="21" max="50" man="1"/>
    <brk id="27" max="50" man="1"/>
    <brk id="33" max="50" man="1"/>
    <brk id="39" max="50" man="1"/>
    <brk id="45" max="50" man="1"/>
    <brk id="51" max="50" man="1"/>
    <brk id="57"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sheetPr>
  <dimension ref="A1:AF51"/>
  <sheetViews>
    <sheetView view="pageBreakPreview" zoomScale="80" zoomScaleNormal="70" zoomScaleSheetLayoutView="80" workbookViewId="0">
      <pane xSplit="3" ySplit="8" topLeftCell="Q36" activePane="bottomRight" state="frozen"/>
      <selection activeCell="Y17" sqref="Y17"/>
      <selection pane="topRight" activeCell="Y17" sqref="Y17"/>
      <selection pane="bottomLeft" activeCell="Y17" sqref="Y17"/>
      <selection pane="bottomRight" activeCell="AD50" sqref="AD50"/>
    </sheetView>
  </sheetViews>
  <sheetFormatPr defaultColWidth="9.140625" defaultRowHeight="12.75" x14ac:dyDescent="0.2"/>
  <cols>
    <col min="1" max="1" width="6.42578125" style="19" customWidth="1"/>
    <col min="2" max="2" width="68.7109375" style="19" customWidth="1"/>
    <col min="3" max="3" width="7.85546875" style="19" customWidth="1"/>
    <col min="4" max="5" width="17.28515625" style="20" customWidth="1"/>
    <col min="6" max="6" width="16.7109375" style="20" customWidth="1"/>
    <col min="7" max="7" width="17.28515625" style="20" customWidth="1"/>
    <col min="8" max="8" width="18.28515625" style="20" customWidth="1"/>
    <col min="9" max="9" width="19.140625" style="20" customWidth="1"/>
    <col min="10" max="10" width="18.28515625" style="20" customWidth="1"/>
    <col min="11" max="11" width="17.7109375" style="20" customWidth="1"/>
    <col min="12" max="18" width="17.28515625" style="20" customWidth="1"/>
    <col min="19" max="21" width="17.7109375" style="20" customWidth="1"/>
    <col min="22" max="22" width="18.42578125" style="20" customWidth="1"/>
    <col min="23" max="23" width="18.42578125" style="700" customWidth="1"/>
    <col min="24" max="24" width="17.5703125" style="700" customWidth="1"/>
    <col min="25" max="26" width="18.42578125" style="20" customWidth="1"/>
    <col min="27" max="27" width="17.140625" style="20" customWidth="1"/>
    <col min="28" max="28" width="18.7109375" style="20" customWidth="1"/>
    <col min="29" max="30" width="16.42578125" style="19" customWidth="1"/>
    <col min="31" max="31" width="17.7109375" style="19" customWidth="1"/>
    <col min="32" max="16384" width="9.140625" style="19"/>
  </cols>
  <sheetData>
    <row r="1" spans="1:31" ht="15.75" x14ac:dyDescent="0.25">
      <c r="I1" s="166" t="s">
        <v>415</v>
      </c>
      <c r="O1" s="166" t="s">
        <v>415</v>
      </c>
      <c r="P1" s="166"/>
      <c r="Q1" s="166"/>
      <c r="R1" s="166"/>
      <c r="U1" s="166" t="s">
        <v>415</v>
      </c>
      <c r="AA1" s="696" t="s">
        <v>415</v>
      </c>
      <c r="AD1" s="166" t="s">
        <v>415</v>
      </c>
    </row>
    <row r="2" spans="1:31" ht="31.5" customHeight="1" x14ac:dyDescent="0.25">
      <c r="A2" s="372"/>
      <c r="B2" s="373"/>
      <c r="C2" s="373"/>
      <c r="D2" s="1039" t="s">
        <v>2032</v>
      </c>
      <c r="E2" s="1040"/>
      <c r="F2" s="1040"/>
      <c r="G2" s="1040"/>
      <c r="H2" s="1040"/>
      <c r="I2" s="1041"/>
      <c r="J2" s="1039" t="s">
        <v>2032</v>
      </c>
      <c r="K2" s="1040"/>
      <c r="L2" s="1040"/>
      <c r="M2" s="1040"/>
      <c r="N2" s="1040"/>
      <c r="O2" s="1041"/>
      <c r="P2" s="1039" t="s">
        <v>2032</v>
      </c>
      <c r="Q2" s="1040"/>
      <c r="R2" s="1040"/>
      <c r="S2" s="1040"/>
      <c r="T2" s="1040"/>
      <c r="U2" s="1040"/>
      <c r="V2" s="1040" t="s">
        <v>2032</v>
      </c>
      <c r="W2" s="1040"/>
      <c r="X2" s="1040"/>
      <c r="Y2" s="1040"/>
      <c r="Z2" s="1040"/>
      <c r="AA2" s="1040"/>
      <c r="AB2" s="1040" t="s">
        <v>2032</v>
      </c>
      <c r="AC2" s="1040"/>
      <c r="AD2" s="1041"/>
    </row>
    <row r="3" spans="1:31" ht="36.75" customHeight="1" x14ac:dyDescent="0.2">
      <c r="A3" s="1028" t="s">
        <v>133</v>
      </c>
      <c r="B3" s="1029"/>
      <c r="C3" s="1030"/>
      <c r="D3" s="644" t="s">
        <v>274</v>
      </c>
      <c r="E3" s="644" t="s">
        <v>1074</v>
      </c>
      <c r="F3" s="644" t="s">
        <v>1546</v>
      </c>
      <c r="G3" s="644" t="s">
        <v>274</v>
      </c>
      <c r="H3" s="644" t="s">
        <v>1074</v>
      </c>
      <c r="I3" s="644" t="s">
        <v>1546</v>
      </c>
      <c r="J3" s="644" t="s">
        <v>274</v>
      </c>
      <c r="K3" s="644" t="s">
        <v>1074</v>
      </c>
      <c r="L3" s="644" t="s">
        <v>1546</v>
      </c>
      <c r="M3" s="644" t="s">
        <v>274</v>
      </c>
      <c r="N3" s="644" t="s">
        <v>1074</v>
      </c>
      <c r="O3" s="644" t="s">
        <v>1546</v>
      </c>
      <c r="P3" s="644" t="s">
        <v>274</v>
      </c>
      <c r="Q3" s="644" t="s">
        <v>1074</v>
      </c>
      <c r="R3" s="644" t="s">
        <v>1546</v>
      </c>
      <c r="S3" s="644" t="s">
        <v>274</v>
      </c>
      <c r="T3" s="644" t="s">
        <v>1074</v>
      </c>
      <c r="U3" s="644" t="s">
        <v>1546</v>
      </c>
      <c r="V3" s="644" t="s">
        <v>274</v>
      </c>
      <c r="W3" s="644" t="s">
        <v>1074</v>
      </c>
      <c r="X3" s="644" t="s">
        <v>1546</v>
      </c>
      <c r="Y3" s="644" t="s">
        <v>274</v>
      </c>
      <c r="Z3" s="644" t="s">
        <v>1074</v>
      </c>
      <c r="AA3" s="644" t="s">
        <v>1546</v>
      </c>
      <c r="AB3" s="644" t="s">
        <v>274</v>
      </c>
      <c r="AC3" s="644" t="s">
        <v>1074</v>
      </c>
      <c r="AD3" s="644" t="s">
        <v>1546</v>
      </c>
    </row>
    <row r="4" spans="1:31" ht="79.5" customHeight="1" x14ac:dyDescent="0.2">
      <c r="A4" s="1034" t="s">
        <v>189</v>
      </c>
      <c r="B4" s="1035" t="s">
        <v>247</v>
      </c>
      <c r="C4" s="1035"/>
      <c r="D4" s="1039" t="s">
        <v>1999</v>
      </c>
      <c r="E4" s="1040"/>
      <c r="F4" s="1041"/>
      <c r="G4" s="1039" t="s">
        <v>2024</v>
      </c>
      <c r="H4" s="1040" t="s">
        <v>467</v>
      </c>
      <c r="I4" s="1041"/>
      <c r="J4" s="1039" t="s">
        <v>2025</v>
      </c>
      <c r="K4" s="1040" t="s">
        <v>790</v>
      </c>
      <c r="L4" s="1041"/>
      <c r="M4" s="1039" t="s">
        <v>2026</v>
      </c>
      <c r="N4" s="1040" t="s">
        <v>348</v>
      </c>
      <c r="O4" s="1041"/>
      <c r="P4" s="1039" t="s">
        <v>2148</v>
      </c>
      <c r="Q4" s="1040" t="s">
        <v>348</v>
      </c>
      <c r="R4" s="1041"/>
      <c r="S4" s="1039" t="s">
        <v>181</v>
      </c>
      <c r="T4" s="1040" t="s">
        <v>181</v>
      </c>
      <c r="U4" s="1041"/>
      <c r="V4" s="1039" t="s">
        <v>2026</v>
      </c>
      <c r="W4" s="1040" t="s">
        <v>477</v>
      </c>
      <c r="X4" s="1041"/>
      <c r="Y4" s="1039" t="s">
        <v>2026</v>
      </c>
      <c r="Z4" s="1040" t="s">
        <v>348</v>
      </c>
      <c r="AA4" s="1041"/>
      <c r="AB4" s="1051" t="s">
        <v>135</v>
      </c>
      <c r="AC4" s="1052"/>
      <c r="AD4" s="1053"/>
    </row>
    <row r="5" spans="1:31" ht="25.5" customHeight="1" x14ac:dyDescent="0.2">
      <c r="A5" s="1034"/>
      <c r="B5" s="1035" t="s">
        <v>11</v>
      </c>
      <c r="C5" s="1035"/>
      <c r="D5" s="1039" t="s">
        <v>225</v>
      </c>
      <c r="E5" s="1040"/>
      <c r="F5" s="1041"/>
      <c r="G5" s="1039" t="s">
        <v>225</v>
      </c>
      <c r="H5" s="1040" t="s">
        <v>225</v>
      </c>
      <c r="I5" s="1041"/>
      <c r="J5" s="1039" t="s">
        <v>225</v>
      </c>
      <c r="K5" s="1040" t="s">
        <v>225</v>
      </c>
      <c r="L5" s="1041"/>
      <c r="M5" s="1039" t="s">
        <v>225</v>
      </c>
      <c r="N5" s="1040" t="s">
        <v>225</v>
      </c>
      <c r="O5" s="1041"/>
      <c r="P5" s="1039" t="s">
        <v>225</v>
      </c>
      <c r="Q5" s="1040" t="s">
        <v>225</v>
      </c>
      <c r="R5" s="1041"/>
      <c r="S5" s="1039" t="s">
        <v>225</v>
      </c>
      <c r="T5" s="1040" t="s">
        <v>225</v>
      </c>
      <c r="U5" s="1041"/>
      <c r="V5" s="1039" t="s">
        <v>225</v>
      </c>
      <c r="W5" s="1040" t="s">
        <v>225</v>
      </c>
      <c r="X5" s="1041"/>
      <c r="Y5" s="1039" t="s">
        <v>225</v>
      </c>
      <c r="Z5" s="1040" t="s">
        <v>225</v>
      </c>
      <c r="AA5" s="1041"/>
      <c r="AB5" s="1060"/>
      <c r="AC5" s="1061"/>
      <c r="AD5" s="1062"/>
    </row>
    <row r="6" spans="1:31" ht="15.75" customHeight="1" x14ac:dyDescent="0.2">
      <c r="A6" s="1034"/>
      <c r="B6" s="992" t="s">
        <v>646</v>
      </c>
      <c r="C6" s="992"/>
      <c r="D6" s="1051" t="s">
        <v>1991</v>
      </c>
      <c r="E6" s="1052"/>
      <c r="F6" s="1053"/>
      <c r="G6" s="1051" t="s">
        <v>2027</v>
      </c>
      <c r="H6" s="1052" t="s">
        <v>1167</v>
      </c>
      <c r="I6" s="1053"/>
      <c r="J6" s="1051" t="s">
        <v>2028</v>
      </c>
      <c r="K6" s="1052" t="s">
        <v>347</v>
      </c>
      <c r="L6" s="1053"/>
      <c r="M6" s="1051" t="s">
        <v>2029</v>
      </c>
      <c r="N6" s="1052" t="s">
        <v>1169</v>
      </c>
      <c r="O6" s="1053"/>
      <c r="P6" s="1051" t="s">
        <v>2149</v>
      </c>
      <c r="Q6" s="1052"/>
      <c r="R6" s="1053"/>
      <c r="S6" s="1051" t="s">
        <v>2030</v>
      </c>
      <c r="T6" s="1052" t="s">
        <v>1168</v>
      </c>
      <c r="U6" s="1053"/>
      <c r="V6" s="1051" t="s">
        <v>2031</v>
      </c>
      <c r="W6" s="1052" t="s">
        <v>1170</v>
      </c>
      <c r="X6" s="1053"/>
      <c r="Y6" s="1051" t="s">
        <v>173</v>
      </c>
      <c r="Z6" s="1052" t="s">
        <v>173</v>
      </c>
      <c r="AA6" s="1053"/>
      <c r="AB6" s="1060"/>
      <c r="AC6" s="1061"/>
      <c r="AD6" s="1062"/>
    </row>
    <row r="7" spans="1:31" ht="73.5" customHeight="1" x14ac:dyDescent="0.2">
      <c r="A7" s="1034"/>
      <c r="B7" s="684" t="s">
        <v>190</v>
      </c>
      <c r="C7" s="126" t="s">
        <v>248</v>
      </c>
      <c r="D7" s="1054"/>
      <c r="E7" s="1055"/>
      <c r="F7" s="1056"/>
      <c r="G7" s="1054"/>
      <c r="H7" s="1055"/>
      <c r="I7" s="1056"/>
      <c r="J7" s="1054"/>
      <c r="K7" s="1055"/>
      <c r="L7" s="1056"/>
      <c r="M7" s="1054"/>
      <c r="N7" s="1055"/>
      <c r="O7" s="1056"/>
      <c r="P7" s="1060"/>
      <c r="Q7" s="1061"/>
      <c r="R7" s="1062"/>
      <c r="S7" s="1054"/>
      <c r="T7" s="1055"/>
      <c r="U7" s="1056"/>
      <c r="V7" s="1054"/>
      <c r="W7" s="1055"/>
      <c r="X7" s="1056"/>
      <c r="Y7" s="1054"/>
      <c r="Z7" s="1055"/>
      <c r="AA7" s="1056"/>
      <c r="AB7" s="1060"/>
      <c r="AC7" s="1061"/>
      <c r="AD7" s="1062"/>
    </row>
    <row r="8" spans="1:31" ht="15.75" x14ac:dyDescent="0.2">
      <c r="A8" s="23" t="s">
        <v>191</v>
      </c>
      <c r="B8" s="24" t="s">
        <v>192</v>
      </c>
      <c r="C8" s="24" t="s">
        <v>193</v>
      </c>
      <c r="D8" s="301" t="s">
        <v>194</v>
      </c>
      <c r="E8" s="24" t="s">
        <v>195</v>
      </c>
      <c r="F8" s="301" t="s">
        <v>196</v>
      </c>
      <c r="G8" s="301" t="s">
        <v>197</v>
      </c>
      <c r="H8" s="24" t="s">
        <v>198</v>
      </c>
      <c r="I8" s="301" t="s">
        <v>199</v>
      </c>
      <c r="J8" s="301" t="s">
        <v>200</v>
      </c>
      <c r="K8" s="24" t="s">
        <v>201</v>
      </c>
      <c r="L8" s="301" t="s">
        <v>228</v>
      </c>
      <c r="M8" s="301" t="s">
        <v>229</v>
      </c>
      <c r="N8" s="24" t="s">
        <v>230</v>
      </c>
      <c r="O8" s="301" t="s">
        <v>231</v>
      </c>
      <c r="P8" s="301" t="s">
        <v>232</v>
      </c>
      <c r="Q8" s="24" t="s">
        <v>233</v>
      </c>
      <c r="R8" s="301" t="s">
        <v>234</v>
      </c>
      <c r="S8" s="301" t="s">
        <v>235</v>
      </c>
      <c r="T8" s="24" t="s">
        <v>236</v>
      </c>
      <c r="U8" s="301" t="s">
        <v>261</v>
      </c>
      <c r="V8" s="301" t="s">
        <v>262</v>
      </c>
      <c r="W8" s="24" t="s">
        <v>263</v>
      </c>
      <c r="X8" s="301" t="s">
        <v>264</v>
      </c>
      <c r="Y8" s="301" t="s">
        <v>265</v>
      </c>
      <c r="Z8" s="24" t="s">
        <v>266</v>
      </c>
      <c r="AA8" s="301" t="s">
        <v>267</v>
      </c>
      <c r="AB8" s="301" t="s">
        <v>268</v>
      </c>
      <c r="AC8" s="24" t="s">
        <v>269</v>
      </c>
      <c r="AD8" s="301" t="s">
        <v>270</v>
      </c>
    </row>
    <row r="9" spans="1:31" ht="21.75" customHeight="1" x14ac:dyDescent="0.25">
      <c r="A9" s="25" t="s">
        <v>191</v>
      </c>
      <c r="B9" s="22" t="s">
        <v>330</v>
      </c>
      <c r="C9" s="26" t="s">
        <v>202</v>
      </c>
      <c r="D9" s="167"/>
      <c r="E9" s="167"/>
      <c r="F9" s="167"/>
      <c r="G9" s="167"/>
      <c r="H9" s="167"/>
      <c r="I9" s="167"/>
      <c r="J9" s="167"/>
      <c r="K9" s="167"/>
      <c r="L9" s="167"/>
      <c r="M9" s="167">
        <v>51141792</v>
      </c>
      <c r="N9" s="167">
        <v>52366792</v>
      </c>
      <c r="O9" s="167">
        <v>43912497</v>
      </c>
      <c r="P9" s="167"/>
      <c r="Q9" s="167">
        <v>6834720</v>
      </c>
      <c r="R9" s="167">
        <v>6420000</v>
      </c>
      <c r="S9" s="167"/>
      <c r="T9" s="167"/>
      <c r="U9" s="167"/>
      <c r="V9" s="167"/>
      <c r="W9" s="697"/>
      <c r="X9" s="697"/>
      <c r="Y9" s="167"/>
      <c r="Z9" s="167"/>
      <c r="AA9" s="167"/>
      <c r="AB9" s="167">
        <f t="shared" ref="AB9:AB50" si="0">D9+G9+J9+M9+S9+V9+Y9</f>
        <v>51141792</v>
      </c>
      <c r="AC9" s="167">
        <f>E9+H9+K9+N9+T9+W9+Z9+Q9</f>
        <v>59201512</v>
      </c>
      <c r="AD9" s="167">
        <f>F9+I9+L9+O9+U9+X9+AA9+R9</f>
        <v>50332497</v>
      </c>
      <c r="AE9" s="80"/>
    </row>
    <row r="10" spans="1:31" ht="21.75" customHeight="1" x14ac:dyDescent="0.25">
      <c r="A10" s="25" t="s">
        <v>192</v>
      </c>
      <c r="B10" s="27" t="s">
        <v>203</v>
      </c>
      <c r="C10" s="26" t="s">
        <v>204</v>
      </c>
      <c r="D10" s="167"/>
      <c r="E10" s="167"/>
      <c r="F10" s="167"/>
      <c r="G10" s="167"/>
      <c r="H10" s="167"/>
      <c r="I10" s="167"/>
      <c r="J10" s="167"/>
      <c r="K10" s="167"/>
      <c r="L10" s="167"/>
      <c r="M10" s="167">
        <f>6947683+220000</f>
        <v>7167683</v>
      </c>
      <c r="N10" s="167">
        <v>7326933</v>
      </c>
      <c r="O10" s="167">
        <v>6013629</v>
      </c>
      <c r="P10" s="167"/>
      <c r="Q10" s="167">
        <v>888514</v>
      </c>
      <c r="R10" s="167">
        <v>834600</v>
      </c>
      <c r="S10" s="167"/>
      <c r="T10" s="167"/>
      <c r="U10" s="167"/>
      <c r="V10" s="167"/>
      <c r="W10" s="697"/>
      <c r="X10" s="697"/>
      <c r="Y10" s="167"/>
      <c r="Z10" s="167"/>
      <c r="AA10" s="167"/>
      <c r="AB10" s="167">
        <f t="shared" si="0"/>
        <v>7167683</v>
      </c>
      <c r="AC10" s="167">
        <f t="shared" ref="AC10:AC50" si="1">E10+H10+K10+N10+T10+W10+Z10+Q10</f>
        <v>8215447</v>
      </c>
      <c r="AD10" s="167">
        <f t="shared" ref="AD10:AD49" si="2">F10+I10+L10+O10+U10+X10+AA10+R10</f>
        <v>6848229</v>
      </c>
      <c r="AE10" s="80"/>
    </row>
    <row r="11" spans="1:31" ht="21.75" customHeight="1" x14ac:dyDescent="0.25">
      <c r="A11" s="25" t="s">
        <v>193</v>
      </c>
      <c r="B11" s="27" t="s">
        <v>331</v>
      </c>
      <c r="C11" s="26" t="s">
        <v>205</v>
      </c>
      <c r="D11" s="167"/>
      <c r="E11" s="167"/>
      <c r="F11" s="167"/>
      <c r="G11" s="167">
        <f>+(6988000)+88</f>
        <v>6988088</v>
      </c>
      <c r="H11" s="167">
        <f>+(6988000)+88+11415</f>
        <v>6999503</v>
      </c>
      <c r="I11" s="167">
        <v>6028725</v>
      </c>
      <c r="J11" s="167"/>
      <c r="K11" s="167"/>
      <c r="L11" s="167"/>
      <c r="M11" s="167">
        <f>+(14013770)+22860+63043</f>
        <v>14099673</v>
      </c>
      <c r="N11" s="167">
        <v>17041486</v>
      </c>
      <c r="O11" s="167">
        <v>10893978</v>
      </c>
      <c r="P11" s="167"/>
      <c r="Q11" s="167"/>
      <c r="R11" s="167"/>
      <c r="S11" s="167"/>
      <c r="T11" s="167"/>
      <c r="U11" s="167"/>
      <c r="V11" s="167"/>
      <c r="W11" s="697">
        <v>199282</v>
      </c>
      <c r="X11" s="697">
        <v>1369</v>
      </c>
      <c r="Y11" s="167">
        <v>127000</v>
      </c>
      <c r="Z11" s="167">
        <v>0</v>
      </c>
      <c r="AA11" s="167"/>
      <c r="AB11" s="167">
        <f t="shared" si="0"/>
        <v>21214761</v>
      </c>
      <c r="AC11" s="167">
        <f t="shared" si="1"/>
        <v>24240271</v>
      </c>
      <c r="AD11" s="167">
        <f t="shared" si="2"/>
        <v>16924072</v>
      </c>
      <c r="AE11" s="80"/>
    </row>
    <row r="12" spans="1:31" ht="21.75" customHeight="1" x14ac:dyDescent="0.25">
      <c r="A12" s="25" t="s">
        <v>194</v>
      </c>
      <c r="B12" s="28" t="s">
        <v>332</v>
      </c>
      <c r="C12" s="26" t="s">
        <v>206</v>
      </c>
      <c r="D12" s="167"/>
      <c r="E12" s="167"/>
      <c r="F12" s="167"/>
      <c r="G12" s="167"/>
      <c r="H12" s="167"/>
      <c r="I12" s="167"/>
      <c r="J12" s="167"/>
      <c r="K12" s="167"/>
      <c r="L12" s="167"/>
      <c r="M12" s="167"/>
      <c r="N12" s="167"/>
      <c r="O12" s="167"/>
      <c r="P12" s="167"/>
      <c r="Q12" s="167"/>
      <c r="R12" s="167"/>
      <c r="S12" s="167"/>
      <c r="T12" s="167"/>
      <c r="U12" s="167"/>
      <c r="V12" s="167"/>
      <c r="W12" s="697"/>
      <c r="X12" s="697"/>
      <c r="Y12" s="167"/>
      <c r="Z12" s="167"/>
      <c r="AA12" s="167"/>
      <c r="AB12" s="167">
        <f t="shared" si="0"/>
        <v>0</v>
      </c>
      <c r="AC12" s="167">
        <f t="shared" si="1"/>
        <v>0</v>
      </c>
      <c r="AD12" s="167">
        <f t="shared" si="2"/>
        <v>0</v>
      </c>
    </row>
    <row r="13" spans="1:31" ht="21.75" customHeight="1" x14ac:dyDescent="0.25">
      <c r="A13" s="25" t="s">
        <v>195</v>
      </c>
      <c r="B13" s="28" t="s">
        <v>237</v>
      </c>
      <c r="C13" s="26" t="s">
        <v>207</v>
      </c>
      <c r="D13" s="167">
        <f t="shared" ref="D13:AB13" si="3">SUM(D14:D16)</f>
        <v>0</v>
      </c>
      <c r="E13" s="167">
        <f t="shared" si="3"/>
        <v>6237769</v>
      </c>
      <c r="F13" s="167">
        <f t="shared" si="3"/>
        <v>6237769</v>
      </c>
      <c r="G13" s="167">
        <f t="shared" si="3"/>
        <v>0</v>
      </c>
      <c r="H13" s="167">
        <f t="shared" si="3"/>
        <v>0</v>
      </c>
      <c r="I13" s="167">
        <f t="shared" si="3"/>
        <v>0</v>
      </c>
      <c r="J13" s="167">
        <f t="shared" si="3"/>
        <v>0</v>
      </c>
      <c r="K13" s="167">
        <f t="shared" si="3"/>
        <v>0</v>
      </c>
      <c r="L13" s="167">
        <f t="shared" si="3"/>
        <v>0</v>
      </c>
      <c r="M13" s="167">
        <f t="shared" si="3"/>
        <v>0</v>
      </c>
      <c r="N13" s="167">
        <f t="shared" si="3"/>
        <v>0</v>
      </c>
      <c r="O13" s="167">
        <f t="shared" si="3"/>
        <v>0</v>
      </c>
      <c r="P13" s="167">
        <f t="shared" si="3"/>
        <v>0</v>
      </c>
      <c r="Q13" s="167">
        <f t="shared" si="3"/>
        <v>0</v>
      </c>
      <c r="R13" s="167">
        <f t="shared" si="3"/>
        <v>0</v>
      </c>
      <c r="S13" s="167">
        <f t="shared" si="3"/>
        <v>0</v>
      </c>
      <c r="T13" s="167">
        <f t="shared" si="3"/>
        <v>0</v>
      </c>
      <c r="U13" s="167">
        <f t="shared" si="3"/>
        <v>0</v>
      </c>
      <c r="V13" s="167">
        <f t="shared" si="3"/>
        <v>0</v>
      </c>
      <c r="W13" s="697">
        <f t="shared" si="3"/>
        <v>0</v>
      </c>
      <c r="X13" s="697">
        <f t="shared" si="3"/>
        <v>0</v>
      </c>
      <c r="Y13" s="167">
        <f t="shared" si="3"/>
        <v>0</v>
      </c>
      <c r="Z13" s="167">
        <f t="shared" si="3"/>
        <v>0</v>
      </c>
      <c r="AA13" s="167">
        <f t="shared" si="3"/>
        <v>0</v>
      </c>
      <c r="AB13" s="167">
        <f t="shared" si="3"/>
        <v>0</v>
      </c>
      <c r="AC13" s="167">
        <f t="shared" si="1"/>
        <v>6237769</v>
      </c>
      <c r="AD13" s="167">
        <f t="shared" si="2"/>
        <v>6237769</v>
      </c>
    </row>
    <row r="14" spans="1:31" ht="21.75" customHeight="1" x14ac:dyDescent="0.25">
      <c r="A14" s="25" t="s">
        <v>196</v>
      </c>
      <c r="B14" s="29" t="s">
        <v>122</v>
      </c>
      <c r="C14" s="26"/>
      <c r="D14" s="167"/>
      <c r="E14" s="167"/>
      <c r="F14" s="167"/>
      <c r="G14" s="167"/>
      <c r="H14" s="167"/>
      <c r="I14" s="167"/>
      <c r="J14" s="167"/>
      <c r="K14" s="167"/>
      <c r="L14" s="167"/>
      <c r="M14" s="167"/>
      <c r="N14" s="167"/>
      <c r="O14" s="167"/>
      <c r="P14" s="167"/>
      <c r="Q14" s="167"/>
      <c r="R14" s="167"/>
      <c r="S14" s="167"/>
      <c r="T14" s="167"/>
      <c r="U14" s="167"/>
      <c r="V14" s="167"/>
      <c r="W14" s="697"/>
      <c r="X14" s="697"/>
      <c r="Y14" s="167"/>
      <c r="Z14" s="167"/>
      <c r="AA14" s="167"/>
      <c r="AB14" s="167">
        <f t="shared" si="0"/>
        <v>0</v>
      </c>
      <c r="AC14" s="167">
        <f t="shared" si="1"/>
        <v>0</v>
      </c>
      <c r="AD14" s="167">
        <f t="shared" si="2"/>
        <v>0</v>
      </c>
    </row>
    <row r="15" spans="1:31" ht="21.75" customHeight="1" x14ac:dyDescent="0.25">
      <c r="A15" s="25" t="s">
        <v>197</v>
      </c>
      <c r="B15" s="29" t="s">
        <v>112</v>
      </c>
      <c r="C15" s="30"/>
      <c r="D15" s="167"/>
      <c r="E15" s="167"/>
      <c r="F15" s="167"/>
      <c r="G15" s="167"/>
      <c r="H15" s="167"/>
      <c r="I15" s="167"/>
      <c r="J15" s="167"/>
      <c r="K15" s="167"/>
      <c r="L15" s="167"/>
      <c r="M15" s="167"/>
      <c r="N15" s="167"/>
      <c r="O15" s="167"/>
      <c r="P15" s="167"/>
      <c r="Q15" s="167"/>
      <c r="R15" s="167"/>
      <c r="S15" s="167"/>
      <c r="T15" s="167"/>
      <c r="U15" s="167"/>
      <c r="V15" s="167"/>
      <c r="W15" s="697"/>
      <c r="X15" s="697"/>
      <c r="Y15" s="167"/>
      <c r="Z15" s="167"/>
      <c r="AA15" s="167"/>
      <c r="AB15" s="167">
        <f t="shared" si="0"/>
        <v>0</v>
      </c>
      <c r="AC15" s="167">
        <f t="shared" si="1"/>
        <v>0</v>
      </c>
      <c r="AD15" s="167">
        <f t="shared" si="2"/>
        <v>0</v>
      </c>
    </row>
    <row r="16" spans="1:31" ht="21.75" customHeight="1" x14ac:dyDescent="0.25">
      <c r="A16" s="25" t="s">
        <v>198</v>
      </c>
      <c r="B16" s="88" t="s">
        <v>517</v>
      </c>
      <c r="C16" s="30"/>
      <c r="D16" s="167"/>
      <c r="E16" s="167">
        <v>6237769</v>
      </c>
      <c r="F16" s="167">
        <v>6237769</v>
      </c>
      <c r="G16" s="167"/>
      <c r="H16" s="167"/>
      <c r="I16" s="167"/>
      <c r="J16" s="167"/>
      <c r="K16" s="167"/>
      <c r="L16" s="167"/>
      <c r="M16" s="167"/>
      <c r="N16" s="167"/>
      <c r="O16" s="167"/>
      <c r="P16" s="167"/>
      <c r="Q16" s="167"/>
      <c r="R16" s="167"/>
      <c r="S16" s="167"/>
      <c r="T16" s="167"/>
      <c r="U16" s="167"/>
      <c r="V16" s="167"/>
      <c r="W16" s="697"/>
      <c r="X16" s="697"/>
      <c r="Y16" s="167"/>
      <c r="Z16" s="167"/>
      <c r="AA16" s="167"/>
      <c r="AB16" s="167">
        <f t="shared" si="0"/>
        <v>0</v>
      </c>
      <c r="AC16" s="167">
        <f t="shared" si="1"/>
        <v>6237769</v>
      </c>
      <c r="AD16" s="167">
        <f t="shared" si="2"/>
        <v>6237769</v>
      </c>
    </row>
    <row r="17" spans="1:30" ht="21.75" customHeight="1" x14ac:dyDescent="0.25">
      <c r="A17" s="25" t="s">
        <v>199</v>
      </c>
      <c r="B17" s="31" t="s">
        <v>244</v>
      </c>
      <c r="C17" s="26" t="s">
        <v>208</v>
      </c>
      <c r="D17" s="167"/>
      <c r="E17" s="167"/>
      <c r="F17" s="167"/>
      <c r="G17" s="167"/>
      <c r="H17" s="167"/>
      <c r="I17" s="167"/>
      <c r="J17" s="167"/>
      <c r="K17" s="167"/>
      <c r="L17" s="167"/>
      <c r="M17" s="167">
        <v>2222500</v>
      </c>
      <c r="N17" s="167">
        <v>2563288</v>
      </c>
      <c r="O17" s="167">
        <v>1995003</v>
      </c>
      <c r="P17" s="167"/>
      <c r="Q17" s="167"/>
      <c r="R17" s="167"/>
      <c r="S17" s="167"/>
      <c r="T17" s="167"/>
      <c r="U17" s="167"/>
      <c r="V17" s="167">
        <v>340528</v>
      </c>
      <c r="W17" s="697">
        <v>436247</v>
      </c>
      <c r="X17" s="697">
        <v>425021</v>
      </c>
      <c r="Y17" s="167"/>
      <c r="Z17" s="167"/>
      <c r="AA17" s="167"/>
      <c r="AB17" s="167">
        <f t="shared" si="0"/>
        <v>2563028</v>
      </c>
      <c r="AC17" s="167">
        <f t="shared" si="1"/>
        <v>2999535</v>
      </c>
      <c r="AD17" s="167">
        <f t="shared" si="2"/>
        <v>2420024</v>
      </c>
    </row>
    <row r="18" spans="1:30" ht="21.75" customHeight="1" x14ac:dyDescent="0.25">
      <c r="A18" s="25" t="s">
        <v>200</v>
      </c>
      <c r="B18" s="28" t="s">
        <v>333</v>
      </c>
      <c r="C18" s="26" t="s">
        <v>209</v>
      </c>
      <c r="D18" s="167"/>
      <c r="E18" s="167"/>
      <c r="F18" s="167"/>
      <c r="G18" s="167"/>
      <c r="H18" s="167"/>
      <c r="I18" s="167"/>
      <c r="J18" s="167"/>
      <c r="K18" s="167"/>
      <c r="L18" s="167"/>
      <c r="M18" s="167"/>
      <c r="N18" s="167"/>
      <c r="O18" s="167"/>
      <c r="P18" s="167"/>
      <c r="Q18" s="167"/>
      <c r="R18" s="167"/>
      <c r="S18" s="167"/>
      <c r="T18" s="167"/>
      <c r="U18" s="167"/>
      <c r="V18" s="167"/>
      <c r="W18" s="697"/>
      <c r="X18" s="697"/>
      <c r="Y18" s="167"/>
      <c r="Z18" s="167"/>
      <c r="AA18" s="167"/>
      <c r="AB18" s="167">
        <f t="shared" si="0"/>
        <v>0</v>
      </c>
      <c r="AC18" s="167">
        <f t="shared" si="1"/>
        <v>0</v>
      </c>
      <c r="AD18" s="167">
        <f t="shared" si="2"/>
        <v>0</v>
      </c>
    </row>
    <row r="19" spans="1:30" ht="21.75" customHeight="1" x14ac:dyDescent="0.25">
      <c r="A19" s="25" t="s">
        <v>201</v>
      </c>
      <c r="B19" s="28" t="s">
        <v>238</v>
      </c>
      <c r="C19" s="26" t="s">
        <v>210</v>
      </c>
      <c r="D19" s="167"/>
      <c r="E19" s="167"/>
      <c r="F19" s="167"/>
      <c r="G19" s="167"/>
      <c r="H19" s="167"/>
      <c r="I19" s="167"/>
      <c r="J19" s="167"/>
      <c r="K19" s="167"/>
      <c r="L19" s="167"/>
      <c r="M19" s="167"/>
      <c r="N19" s="167"/>
      <c r="O19" s="167"/>
      <c r="P19" s="167"/>
      <c r="Q19" s="167"/>
      <c r="R19" s="167"/>
      <c r="S19" s="167"/>
      <c r="T19" s="167"/>
      <c r="U19" s="167"/>
      <c r="V19" s="167"/>
      <c r="W19" s="697"/>
      <c r="X19" s="697"/>
      <c r="Y19" s="167"/>
      <c r="Z19" s="167"/>
      <c r="AA19" s="167"/>
      <c r="AB19" s="167">
        <f t="shared" si="0"/>
        <v>0</v>
      </c>
      <c r="AC19" s="167">
        <f t="shared" si="1"/>
        <v>0</v>
      </c>
      <c r="AD19" s="167">
        <f t="shared" si="2"/>
        <v>0</v>
      </c>
    </row>
    <row r="20" spans="1:30" ht="21.75" customHeight="1" x14ac:dyDescent="0.25">
      <c r="A20" s="25" t="s">
        <v>228</v>
      </c>
      <c r="B20" s="28" t="s">
        <v>121</v>
      </c>
      <c r="C20" s="26"/>
      <c r="D20" s="167"/>
      <c r="E20" s="167"/>
      <c r="F20" s="167"/>
      <c r="G20" s="167"/>
      <c r="H20" s="167"/>
      <c r="I20" s="167"/>
      <c r="J20" s="167"/>
      <c r="K20" s="167"/>
      <c r="L20" s="167"/>
      <c r="M20" s="167"/>
      <c r="N20" s="167"/>
      <c r="O20" s="167"/>
      <c r="P20" s="167"/>
      <c r="Q20" s="167"/>
      <c r="R20" s="167"/>
      <c r="S20" s="167"/>
      <c r="T20" s="167"/>
      <c r="U20" s="167"/>
      <c r="V20" s="167"/>
      <c r="W20" s="697"/>
      <c r="X20" s="697"/>
      <c r="Y20" s="167"/>
      <c r="Z20" s="167"/>
      <c r="AA20" s="167"/>
      <c r="AB20" s="167">
        <f t="shared" si="0"/>
        <v>0</v>
      </c>
      <c r="AC20" s="167">
        <f t="shared" si="1"/>
        <v>0</v>
      </c>
      <c r="AD20" s="167">
        <f t="shared" si="2"/>
        <v>0</v>
      </c>
    </row>
    <row r="21" spans="1:30" ht="21.75" customHeight="1" x14ac:dyDescent="0.25">
      <c r="A21" s="25" t="s">
        <v>229</v>
      </c>
      <c r="B21" s="31" t="s">
        <v>239</v>
      </c>
      <c r="C21" s="26" t="s">
        <v>211</v>
      </c>
      <c r="D21" s="167">
        <f>+D9+D10+D11+D12+D13+D17+D18+D19</f>
        <v>0</v>
      </c>
      <c r="E21" s="167">
        <f>+E9+E10+E11+E12+E13+E17+E18+E19</f>
        <v>6237769</v>
      </c>
      <c r="F21" s="167">
        <f t="shared" ref="F21:AB21" si="4">+F9+F10+F11+F12+F13+F17+F18+F19</f>
        <v>6237769</v>
      </c>
      <c r="G21" s="167">
        <f t="shared" si="4"/>
        <v>6988088</v>
      </c>
      <c r="H21" s="167">
        <f t="shared" si="4"/>
        <v>6999503</v>
      </c>
      <c r="I21" s="167">
        <f t="shared" si="4"/>
        <v>6028725</v>
      </c>
      <c r="J21" s="167">
        <f t="shared" si="4"/>
        <v>0</v>
      </c>
      <c r="K21" s="167">
        <f t="shared" si="4"/>
        <v>0</v>
      </c>
      <c r="L21" s="167">
        <f t="shared" si="4"/>
        <v>0</v>
      </c>
      <c r="M21" s="167">
        <f t="shared" si="4"/>
        <v>74631648</v>
      </c>
      <c r="N21" s="167">
        <f t="shared" si="4"/>
        <v>79298499</v>
      </c>
      <c r="O21" s="167">
        <f t="shared" si="4"/>
        <v>62815107</v>
      </c>
      <c r="P21" s="167">
        <f>+P9+P10+P11+P12+P13+P17+P18+P19</f>
        <v>0</v>
      </c>
      <c r="Q21" s="167">
        <f>+Q9+Q10+Q11+Q12+Q13+Q17+Q18+Q19</f>
        <v>7723234</v>
      </c>
      <c r="R21" s="167">
        <f>+R9+R10+R11+R12+R13+R17+R18+R19</f>
        <v>7254600</v>
      </c>
      <c r="S21" s="167">
        <f t="shared" si="4"/>
        <v>0</v>
      </c>
      <c r="T21" s="167">
        <f t="shared" si="4"/>
        <v>0</v>
      </c>
      <c r="U21" s="167">
        <f t="shared" si="4"/>
        <v>0</v>
      </c>
      <c r="V21" s="167">
        <f t="shared" si="4"/>
        <v>340528</v>
      </c>
      <c r="W21" s="697">
        <f t="shared" si="4"/>
        <v>635529</v>
      </c>
      <c r="X21" s="697">
        <f t="shared" si="4"/>
        <v>426390</v>
      </c>
      <c r="Y21" s="167">
        <f t="shared" si="4"/>
        <v>127000</v>
      </c>
      <c r="Z21" s="167">
        <f t="shared" si="4"/>
        <v>0</v>
      </c>
      <c r="AA21" s="167">
        <f t="shared" si="4"/>
        <v>0</v>
      </c>
      <c r="AB21" s="168">
        <f t="shared" si="4"/>
        <v>82087264</v>
      </c>
      <c r="AC21" s="168">
        <f t="shared" si="1"/>
        <v>100894534</v>
      </c>
      <c r="AD21" s="168">
        <f t="shared" si="2"/>
        <v>82762591</v>
      </c>
    </row>
    <row r="22" spans="1:30" ht="21.75" customHeight="1" x14ac:dyDescent="0.25">
      <c r="A22" s="25" t="s">
        <v>230</v>
      </c>
      <c r="B22" s="31" t="s">
        <v>224</v>
      </c>
      <c r="C22" s="26" t="s">
        <v>220</v>
      </c>
      <c r="D22" s="167">
        <f>SUM(D23:D26)</f>
        <v>0</v>
      </c>
      <c r="E22" s="167">
        <f t="shared" ref="E22:AB22" si="5">SUM(E23:E26)</f>
        <v>0</v>
      </c>
      <c r="F22" s="167">
        <f t="shared" si="5"/>
        <v>0</v>
      </c>
      <c r="G22" s="167">
        <f t="shared" si="5"/>
        <v>0</v>
      </c>
      <c r="H22" s="167">
        <f t="shared" si="5"/>
        <v>0</v>
      </c>
      <c r="I22" s="167">
        <f t="shared" si="5"/>
        <v>0</v>
      </c>
      <c r="J22" s="167">
        <f t="shared" si="5"/>
        <v>0</v>
      </c>
      <c r="K22" s="167">
        <f t="shared" si="5"/>
        <v>0</v>
      </c>
      <c r="L22" s="167">
        <f t="shared" si="5"/>
        <v>0</v>
      </c>
      <c r="M22" s="167">
        <f t="shared" si="5"/>
        <v>0</v>
      </c>
      <c r="N22" s="167">
        <f t="shared" si="5"/>
        <v>0</v>
      </c>
      <c r="O22" s="167">
        <f t="shared" si="5"/>
        <v>0</v>
      </c>
      <c r="P22" s="167">
        <f>SUM(P23:P26)</f>
        <v>0</v>
      </c>
      <c r="Q22" s="167">
        <f>SUM(Q23:Q26)</f>
        <v>0</v>
      </c>
      <c r="R22" s="167">
        <f>SUM(R23:R26)</f>
        <v>0</v>
      </c>
      <c r="S22" s="167">
        <f t="shared" si="5"/>
        <v>0</v>
      </c>
      <c r="T22" s="167">
        <f t="shared" si="5"/>
        <v>0</v>
      </c>
      <c r="U22" s="167">
        <f t="shared" si="5"/>
        <v>0</v>
      </c>
      <c r="V22" s="167">
        <f t="shared" si="5"/>
        <v>0</v>
      </c>
      <c r="W22" s="697">
        <f t="shared" si="5"/>
        <v>0</v>
      </c>
      <c r="X22" s="697">
        <f t="shared" si="5"/>
        <v>0</v>
      </c>
      <c r="Y22" s="167">
        <f t="shared" si="5"/>
        <v>0</v>
      </c>
      <c r="Z22" s="167">
        <f t="shared" si="5"/>
        <v>0</v>
      </c>
      <c r="AA22" s="167">
        <f t="shared" si="5"/>
        <v>0</v>
      </c>
      <c r="AB22" s="167">
        <f t="shared" si="5"/>
        <v>0</v>
      </c>
      <c r="AC22" s="167">
        <f t="shared" si="1"/>
        <v>0</v>
      </c>
      <c r="AD22" s="167">
        <f t="shared" si="2"/>
        <v>0</v>
      </c>
    </row>
    <row r="23" spans="1:30" ht="21.75" customHeight="1" x14ac:dyDescent="0.25">
      <c r="A23" s="25" t="s">
        <v>231</v>
      </c>
      <c r="B23" s="90" t="s">
        <v>179</v>
      </c>
      <c r="C23" s="30"/>
      <c r="D23" s="167"/>
      <c r="E23" s="167"/>
      <c r="F23" s="167"/>
      <c r="G23" s="167"/>
      <c r="H23" s="167"/>
      <c r="I23" s="167"/>
      <c r="J23" s="167"/>
      <c r="K23" s="167"/>
      <c r="L23" s="167"/>
      <c r="M23" s="167"/>
      <c r="N23" s="167"/>
      <c r="O23" s="167"/>
      <c r="P23" s="167"/>
      <c r="Q23" s="167"/>
      <c r="R23" s="167"/>
      <c r="S23" s="167"/>
      <c r="T23" s="167"/>
      <c r="U23" s="167"/>
      <c r="V23" s="167"/>
      <c r="W23" s="697"/>
      <c r="X23" s="697"/>
      <c r="Y23" s="167"/>
      <c r="Z23" s="167"/>
      <c r="AA23" s="167"/>
      <c r="AB23" s="646">
        <f t="shared" si="0"/>
        <v>0</v>
      </c>
      <c r="AC23" s="167">
        <f t="shared" si="1"/>
        <v>0</v>
      </c>
      <c r="AD23" s="167">
        <f t="shared" si="2"/>
        <v>0</v>
      </c>
    </row>
    <row r="24" spans="1:30" ht="21.75" customHeight="1" x14ac:dyDescent="0.25">
      <c r="A24" s="25" t="s">
        <v>232</v>
      </c>
      <c r="B24" s="32" t="s">
        <v>520</v>
      </c>
      <c r="C24" s="30"/>
      <c r="D24" s="167"/>
      <c r="E24" s="167"/>
      <c r="F24" s="167"/>
      <c r="G24" s="167"/>
      <c r="H24" s="167"/>
      <c r="I24" s="167"/>
      <c r="J24" s="167"/>
      <c r="K24" s="167"/>
      <c r="L24" s="167"/>
      <c r="M24" s="167"/>
      <c r="N24" s="167"/>
      <c r="O24" s="167"/>
      <c r="P24" s="167"/>
      <c r="Q24" s="167"/>
      <c r="R24" s="167"/>
      <c r="S24" s="167"/>
      <c r="T24" s="167"/>
      <c r="U24" s="167"/>
      <c r="V24" s="167"/>
      <c r="W24" s="697"/>
      <c r="X24" s="697"/>
      <c r="Y24" s="167"/>
      <c r="Z24" s="167"/>
      <c r="AA24" s="167"/>
      <c r="AB24" s="167">
        <f t="shared" si="0"/>
        <v>0</v>
      </c>
      <c r="AC24" s="167">
        <f t="shared" si="1"/>
        <v>0</v>
      </c>
      <c r="AD24" s="167">
        <f t="shared" si="2"/>
        <v>0</v>
      </c>
    </row>
    <row r="25" spans="1:30" ht="21.75" customHeight="1" x14ac:dyDescent="0.25">
      <c r="A25" s="25" t="s">
        <v>233</v>
      </c>
      <c r="B25" s="32" t="s">
        <v>521</v>
      </c>
      <c r="C25" s="30"/>
      <c r="D25" s="167"/>
      <c r="E25" s="167"/>
      <c r="F25" s="167"/>
      <c r="G25" s="167"/>
      <c r="H25" s="167"/>
      <c r="I25" s="167"/>
      <c r="J25" s="167"/>
      <c r="K25" s="167"/>
      <c r="L25" s="167"/>
      <c r="M25" s="167"/>
      <c r="N25" s="167"/>
      <c r="O25" s="167"/>
      <c r="P25" s="167"/>
      <c r="Q25" s="167"/>
      <c r="R25" s="167"/>
      <c r="S25" s="167"/>
      <c r="T25" s="167"/>
      <c r="U25" s="167"/>
      <c r="V25" s="167"/>
      <c r="W25" s="697"/>
      <c r="X25" s="697"/>
      <c r="Y25" s="167"/>
      <c r="Z25" s="167"/>
      <c r="AA25" s="167"/>
      <c r="AB25" s="167">
        <f t="shared" si="0"/>
        <v>0</v>
      </c>
      <c r="AC25" s="167">
        <f t="shared" si="1"/>
        <v>0</v>
      </c>
      <c r="AD25" s="167">
        <f t="shared" si="2"/>
        <v>0</v>
      </c>
    </row>
    <row r="26" spans="1:30" ht="21.75" customHeight="1" x14ac:dyDescent="0.25">
      <c r="A26" s="25" t="s">
        <v>234</v>
      </c>
      <c r="B26" s="32" t="s">
        <v>123</v>
      </c>
      <c r="C26" s="30"/>
      <c r="D26" s="167"/>
      <c r="E26" s="167"/>
      <c r="F26" s="167"/>
      <c r="G26" s="167"/>
      <c r="H26" s="167"/>
      <c r="I26" s="167"/>
      <c r="J26" s="167"/>
      <c r="K26" s="167"/>
      <c r="L26" s="167"/>
      <c r="M26" s="167"/>
      <c r="N26" s="167"/>
      <c r="O26" s="167"/>
      <c r="P26" s="167"/>
      <c r="Q26" s="167"/>
      <c r="R26" s="167"/>
      <c r="S26" s="167"/>
      <c r="T26" s="167"/>
      <c r="U26" s="167"/>
      <c r="V26" s="167"/>
      <c r="W26" s="697"/>
      <c r="X26" s="697"/>
      <c r="Y26" s="167"/>
      <c r="Z26" s="167"/>
      <c r="AA26" s="167"/>
      <c r="AB26" s="167">
        <f t="shared" si="0"/>
        <v>0</v>
      </c>
      <c r="AC26" s="167">
        <f t="shared" si="1"/>
        <v>0</v>
      </c>
      <c r="AD26" s="167">
        <f t="shared" si="2"/>
        <v>0</v>
      </c>
    </row>
    <row r="27" spans="1:30" ht="21.75" customHeight="1" x14ac:dyDescent="0.25">
      <c r="A27" s="25" t="s">
        <v>235</v>
      </c>
      <c r="B27" s="222" t="s">
        <v>742</v>
      </c>
      <c r="C27" s="30"/>
      <c r="D27" s="167"/>
      <c r="E27" s="167"/>
      <c r="F27" s="167"/>
      <c r="G27" s="167"/>
      <c r="H27" s="167"/>
      <c r="I27" s="167"/>
      <c r="J27" s="167"/>
      <c r="K27" s="167"/>
      <c r="L27" s="167"/>
      <c r="M27" s="167"/>
      <c r="N27" s="167"/>
      <c r="O27" s="167"/>
      <c r="P27" s="167"/>
      <c r="Q27" s="167"/>
      <c r="R27" s="167"/>
      <c r="S27" s="167"/>
      <c r="T27" s="167"/>
      <c r="U27" s="167"/>
      <c r="V27" s="167"/>
      <c r="W27" s="697"/>
      <c r="X27" s="697"/>
      <c r="Y27" s="167"/>
      <c r="Z27" s="167"/>
      <c r="AA27" s="167"/>
      <c r="AB27" s="167">
        <f t="shared" si="0"/>
        <v>0</v>
      </c>
      <c r="AC27" s="167">
        <f t="shared" si="1"/>
        <v>0</v>
      </c>
      <c r="AD27" s="167">
        <f t="shared" si="2"/>
        <v>0</v>
      </c>
    </row>
    <row r="28" spans="1:30" s="34" customFormat="1" ht="21.75" customHeight="1" x14ac:dyDescent="0.25">
      <c r="A28" s="25" t="s">
        <v>236</v>
      </c>
      <c r="B28" s="33" t="s">
        <v>32</v>
      </c>
      <c r="C28" s="26"/>
      <c r="D28" s="168">
        <f>+D9+D10+D11+D12+D13+D23+D24</f>
        <v>0</v>
      </c>
      <c r="E28" s="168">
        <f t="shared" ref="E28:AB28" si="6">+E9+E10+E11+E12+E13+E23+E24</f>
        <v>6237769</v>
      </c>
      <c r="F28" s="168">
        <f t="shared" si="6"/>
        <v>6237769</v>
      </c>
      <c r="G28" s="168">
        <f t="shared" si="6"/>
        <v>6988088</v>
      </c>
      <c r="H28" s="168">
        <f t="shared" si="6"/>
        <v>6999503</v>
      </c>
      <c r="I28" s="168">
        <f t="shared" si="6"/>
        <v>6028725</v>
      </c>
      <c r="J28" s="168">
        <f t="shared" si="6"/>
        <v>0</v>
      </c>
      <c r="K28" s="168">
        <f t="shared" si="6"/>
        <v>0</v>
      </c>
      <c r="L28" s="168">
        <f t="shared" si="6"/>
        <v>0</v>
      </c>
      <c r="M28" s="168">
        <f t="shared" si="6"/>
        <v>72409148</v>
      </c>
      <c r="N28" s="168">
        <f t="shared" si="6"/>
        <v>76735211</v>
      </c>
      <c r="O28" s="168">
        <f t="shared" si="6"/>
        <v>60820104</v>
      </c>
      <c r="P28" s="168">
        <f>+P9+P10+P11+P12+P13+P23+P24</f>
        <v>0</v>
      </c>
      <c r="Q28" s="168">
        <f>+Q9+Q10+Q11+Q12+Q13+Q23+Q24</f>
        <v>7723234</v>
      </c>
      <c r="R28" s="168">
        <f>+R9+R10+R11+R12+R13+R23+R24</f>
        <v>7254600</v>
      </c>
      <c r="S28" s="168">
        <f t="shared" si="6"/>
        <v>0</v>
      </c>
      <c r="T28" s="168">
        <f t="shared" si="6"/>
        <v>0</v>
      </c>
      <c r="U28" s="168">
        <f t="shared" si="6"/>
        <v>0</v>
      </c>
      <c r="V28" s="168">
        <f t="shared" si="6"/>
        <v>0</v>
      </c>
      <c r="W28" s="698">
        <f t="shared" si="6"/>
        <v>199282</v>
      </c>
      <c r="X28" s="698">
        <f t="shared" si="6"/>
        <v>1369</v>
      </c>
      <c r="Y28" s="168">
        <f t="shared" si="6"/>
        <v>127000</v>
      </c>
      <c r="Z28" s="168">
        <f t="shared" si="6"/>
        <v>0</v>
      </c>
      <c r="AA28" s="168">
        <f t="shared" si="6"/>
        <v>0</v>
      </c>
      <c r="AB28" s="168">
        <f t="shared" si="6"/>
        <v>79524236</v>
      </c>
      <c r="AC28" s="168">
        <f t="shared" si="1"/>
        <v>97894999</v>
      </c>
      <c r="AD28" s="168">
        <f t="shared" si="2"/>
        <v>80342567</v>
      </c>
    </row>
    <row r="29" spans="1:30" s="34" customFormat="1" ht="21.75" customHeight="1" x14ac:dyDescent="0.25">
      <c r="A29" s="25" t="s">
        <v>261</v>
      </c>
      <c r="B29" s="33" t="s">
        <v>33</v>
      </c>
      <c r="C29" s="26"/>
      <c r="D29" s="168">
        <f>+D17+D18+D19+D25+D26</f>
        <v>0</v>
      </c>
      <c r="E29" s="168">
        <f t="shared" ref="E29:AB29" si="7">+E17+E18+E19+E25+E26</f>
        <v>0</v>
      </c>
      <c r="F29" s="168">
        <f t="shared" si="7"/>
        <v>0</v>
      </c>
      <c r="G29" s="168">
        <f t="shared" si="7"/>
        <v>0</v>
      </c>
      <c r="H29" s="168">
        <f t="shared" si="7"/>
        <v>0</v>
      </c>
      <c r="I29" s="168">
        <f t="shared" si="7"/>
        <v>0</v>
      </c>
      <c r="J29" s="168">
        <f t="shared" si="7"/>
        <v>0</v>
      </c>
      <c r="K29" s="168">
        <f t="shared" si="7"/>
        <v>0</v>
      </c>
      <c r="L29" s="168">
        <f t="shared" si="7"/>
        <v>0</v>
      </c>
      <c r="M29" s="168">
        <f t="shared" si="7"/>
        <v>2222500</v>
      </c>
      <c r="N29" s="168">
        <f t="shared" si="7"/>
        <v>2563288</v>
      </c>
      <c r="O29" s="168">
        <f t="shared" si="7"/>
        <v>1995003</v>
      </c>
      <c r="P29" s="168">
        <f>+P17+P18+P19+P25+P26</f>
        <v>0</v>
      </c>
      <c r="Q29" s="168">
        <f>+Q17+Q18+Q19+Q25+Q26</f>
        <v>0</v>
      </c>
      <c r="R29" s="168">
        <f>+R17+R18+R19+R25+R26</f>
        <v>0</v>
      </c>
      <c r="S29" s="168">
        <f t="shared" si="7"/>
        <v>0</v>
      </c>
      <c r="T29" s="168">
        <f t="shared" si="7"/>
        <v>0</v>
      </c>
      <c r="U29" s="168">
        <f t="shared" si="7"/>
        <v>0</v>
      </c>
      <c r="V29" s="168">
        <f t="shared" si="7"/>
        <v>340528</v>
      </c>
      <c r="W29" s="698">
        <f t="shared" si="7"/>
        <v>436247</v>
      </c>
      <c r="X29" s="698">
        <f t="shared" si="7"/>
        <v>425021</v>
      </c>
      <c r="Y29" s="168">
        <f t="shared" si="7"/>
        <v>0</v>
      </c>
      <c r="Z29" s="168">
        <f t="shared" si="7"/>
        <v>0</v>
      </c>
      <c r="AA29" s="168">
        <f t="shared" si="7"/>
        <v>0</v>
      </c>
      <c r="AB29" s="168">
        <f t="shared" si="7"/>
        <v>2563028</v>
      </c>
      <c r="AC29" s="168">
        <f t="shared" si="1"/>
        <v>2999535</v>
      </c>
      <c r="AD29" s="168">
        <f t="shared" si="2"/>
        <v>2420024</v>
      </c>
    </row>
    <row r="30" spans="1:30" s="34" customFormat="1" ht="21.75" customHeight="1" x14ac:dyDescent="0.25">
      <c r="A30" s="25" t="s">
        <v>262</v>
      </c>
      <c r="B30" s="33" t="s">
        <v>328</v>
      </c>
      <c r="C30" s="26" t="s">
        <v>31</v>
      </c>
      <c r="D30" s="168">
        <f>SUM(D28:D29)</f>
        <v>0</v>
      </c>
      <c r="E30" s="168">
        <f t="shared" ref="E30:AB30" si="8">SUM(E28:E29)</f>
        <v>6237769</v>
      </c>
      <c r="F30" s="168">
        <f t="shared" si="8"/>
        <v>6237769</v>
      </c>
      <c r="G30" s="168">
        <f t="shared" si="8"/>
        <v>6988088</v>
      </c>
      <c r="H30" s="168">
        <f t="shared" si="8"/>
        <v>6999503</v>
      </c>
      <c r="I30" s="168">
        <f t="shared" si="8"/>
        <v>6028725</v>
      </c>
      <c r="J30" s="168">
        <f t="shared" si="8"/>
        <v>0</v>
      </c>
      <c r="K30" s="168">
        <f t="shared" si="8"/>
        <v>0</v>
      </c>
      <c r="L30" s="168">
        <f t="shared" si="8"/>
        <v>0</v>
      </c>
      <c r="M30" s="168">
        <f t="shared" si="8"/>
        <v>74631648</v>
      </c>
      <c r="N30" s="168">
        <f t="shared" si="8"/>
        <v>79298499</v>
      </c>
      <c r="O30" s="168">
        <f t="shared" si="8"/>
        <v>62815107</v>
      </c>
      <c r="P30" s="168">
        <f>SUM(P28:P29)</f>
        <v>0</v>
      </c>
      <c r="Q30" s="168">
        <f>SUM(Q28:Q29)</f>
        <v>7723234</v>
      </c>
      <c r="R30" s="168">
        <f>SUM(R28:R29)</f>
        <v>7254600</v>
      </c>
      <c r="S30" s="168">
        <f t="shared" si="8"/>
        <v>0</v>
      </c>
      <c r="T30" s="168">
        <f t="shared" si="8"/>
        <v>0</v>
      </c>
      <c r="U30" s="168">
        <f t="shared" si="8"/>
        <v>0</v>
      </c>
      <c r="V30" s="168">
        <f t="shared" si="8"/>
        <v>340528</v>
      </c>
      <c r="W30" s="698">
        <f t="shared" si="8"/>
        <v>635529</v>
      </c>
      <c r="X30" s="698">
        <f t="shared" si="8"/>
        <v>426390</v>
      </c>
      <c r="Y30" s="168">
        <f t="shared" si="8"/>
        <v>127000</v>
      </c>
      <c r="Z30" s="168">
        <f t="shared" si="8"/>
        <v>0</v>
      </c>
      <c r="AA30" s="168">
        <f t="shared" si="8"/>
        <v>0</v>
      </c>
      <c r="AB30" s="168">
        <f t="shared" si="8"/>
        <v>82087264</v>
      </c>
      <c r="AC30" s="168">
        <f t="shared" si="1"/>
        <v>100894534</v>
      </c>
      <c r="AD30" s="168">
        <f t="shared" si="2"/>
        <v>82762591</v>
      </c>
    </row>
    <row r="31" spans="1:30" ht="21.75" customHeight="1" x14ac:dyDescent="0.25">
      <c r="A31" s="25" t="s">
        <v>263</v>
      </c>
      <c r="B31" s="27" t="s">
        <v>52</v>
      </c>
      <c r="C31" s="31" t="s">
        <v>212</v>
      </c>
      <c r="D31" s="167"/>
      <c r="E31" s="167"/>
      <c r="F31" s="167"/>
      <c r="G31" s="167"/>
      <c r="H31" s="167"/>
      <c r="I31" s="167"/>
      <c r="J31" s="167"/>
      <c r="K31" s="167"/>
      <c r="L31" s="167"/>
      <c r="M31" s="167"/>
      <c r="N31" s="167"/>
      <c r="O31" s="167"/>
      <c r="P31" s="167"/>
      <c r="Q31" s="167"/>
      <c r="R31" s="167"/>
      <c r="S31" s="167"/>
      <c r="T31" s="167"/>
      <c r="U31" s="167"/>
      <c r="V31" s="167"/>
      <c r="W31" s="697"/>
      <c r="X31" s="697"/>
      <c r="Y31" s="167"/>
      <c r="Z31" s="167"/>
      <c r="AA31" s="167"/>
      <c r="AB31" s="167">
        <f t="shared" si="0"/>
        <v>0</v>
      </c>
      <c r="AC31" s="167">
        <f t="shared" si="1"/>
        <v>0</v>
      </c>
      <c r="AD31" s="167">
        <f t="shared" si="2"/>
        <v>0</v>
      </c>
    </row>
    <row r="32" spans="1:30" ht="21.75" customHeight="1" x14ac:dyDescent="0.25">
      <c r="A32" s="25" t="s">
        <v>264</v>
      </c>
      <c r="B32" s="27" t="s">
        <v>223</v>
      </c>
      <c r="C32" s="31" t="s">
        <v>213</v>
      </c>
      <c r="D32" s="167"/>
      <c r="E32" s="167"/>
      <c r="F32" s="167"/>
      <c r="G32" s="167"/>
      <c r="H32" s="167"/>
      <c r="I32" s="167"/>
      <c r="J32" s="167"/>
      <c r="K32" s="167"/>
      <c r="L32" s="167"/>
      <c r="M32" s="167"/>
      <c r="N32" s="167"/>
      <c r="O32" s="167"/>
      <c r="P32" s="167"/>
      <c r="Q32" s="167"/>
      <c r="R32" s="167"/>
      <c r="S32" s="167"/>
      <c r="T32" s="167"/>
      <c r="U32" s="167"/>
      <c r="V32" s="167"/>
      <c r="W32" s="697"/>
      <c r="X32" s="697"/>
      <c r="Y32" s="167"/>
      <c r="Z32" s="167"/>
      <c r="AA32" s="167"/>
      <c r="AB32" s="167">
        <f t="shared" si="0"/>
        <v>0</v>
      </c>
      <c r="AC32" s="167">
        <f t="shared" si="1"/>
        <v>0</v>
      </c>
      <c r="AD32" s="167">
        <f t="shared" si="2"/>
        <v>0</v>
      </c>
    </row>
    <row r="33" spans="1:32" ht="21.75" customHeight="1" x14ac:dyDescent="0.25">
      <c r="A33" s="25" t="s">
        <v>265</v>
      </c>
      <c r="B33" s="27" t="s">
        <v>222</v>
      </c>
      <c r="C33" s="31" t="s">
        <v>214</v>
      </c>
      <c r="D33" s="167"/>
      <c r="E33" s="167"/>
      <c r="F33" s="167"/>
      <c r="G33" s="167"/>
      <c r="H33" s="167"/>
      <c r="I33" s="167"/>
      <c r="J33" s="167"/>
      <c r="K33" s="167"/>
      <c r="L33" s="167"/>
      <c r="M33" s="167"/>
      <c r="N33" s="167"/>
      <c r="O33" s="167"/>
      <c r="P33" s="167"/>
      <c r="Q33" s="167"/>
      <c r="R33" s="167"/>
      <c r="S33" s="167"/>
      <c r="T33" s="167"/>
      <c r="U33" s="167"/>
      <c r="V33" s="167"/>
      <c r="W33" s="697"/>
      <c r="X33" s="697"/>
      <c r="Y33" s="167"/>
      <c r="Z33" s="167"/>
      <c r="AA33" s="167"/>
      <c r="AB33" s="167">
        <f t="shared" si="0"/>
        <v>0</v>
      </c>
      <c r="AC33" s="167">
        <f t="shared" si="1"/>
        <v>0</v>
      </c>
      <c r="AD33" s="167">
        <f t="shared" si="2"/>
        <v>0</v>
      </c>
    </row>
    <row r="34" spans="1:32" ht="21.75" customHeight="1" x14ac:dyDescent="0.25">
      <c r="A34" s="25" t="s">
        <v>266</v>
      </c>
      <c r="B34" s="28" t="s">
        <v>0</v>
      </c>
      <c r="C34" s="31" t="s">
        <v>215</v>
      </c>
      <c r="D34" s="167"/>
      <c r="E34" s="167"/>
      <c r="F34" s="167"/>
      <c r="G34" s="167"/>
      <c r="H34" s="167">
        <v>11415</v>
      </c>
      <c r="I34" s="167">
        <v>11415</v>
      </c>
      <c r="J34" s="167"/>
      <c r="K34" s="167"/>
      <c r="L34" s="167"/>
      <c r="M34" s="169">
        <v>566100</v>
      </c>
      <c r="N34" s="169">
        <v>1084602</v>
      </c>
      <c r="O34" s="169">
        <v>1084602</v>
      </c>
      <c r="P34" s="169"/>
      <c r="Q34" s="169"/>
      <c r="R34" s="169"/>
      <c r="S34" s="169"/>
      <c r="T34" s="169"/>
      <c r="U34" s="169"/>
      <c r="V34" s="169"/>
      <c r="W34" s="697">
        <v>1</v>
      </c>
      <c r="X34" s="697">
        <v>1</v>
      </c>
      <c r="Y34" s="169">
        <v>127000</v>
      </c>
      <c r="Z34" s="169">
        <v>0</v>
      </c>
      <c r="AA34" s="169"/>
      <c r="AB34" s="167">
        <f t="shared" si="0"/>
        <v>693100</v>
      </c>
      <c r="AC34" s="167">
        <f t="shared" si="1"/>
        <v>1096018</v>
      </c>
      <c r="AD34" s="167">
        <f t="shared" si="2"/>
        <v>1096018</v>
      </c>
    </row>
    <row r="35" spans="1:32" ht="21.75" customHeight="1" x14ac:dyDescent="0.25">
      <c r="A35" s="25" t="s">
        <v>267</v>
      </c>
      <c r="B35" s="27" t="s">
        <v>245</v>
      </c>
      <c r="C35" s="31" t="s">
        <v>216</v>
      </c>
      <c r="D35" s="167"/>
      <c r="E35" s="167"/>
      <c r="F35" s="167"/>
      <c r="G35" s="167"/>
      <c r="H35" s="167"/>
      <c r="I35" s="167"/>
      <c r="J35" s="167"/>
      <c r="K35" s="167"/>
      <c r="L35" s="167"/>
      <c r="M35" s="167"/>
      <c r="N35" s="167">
        <v>5000</v>
      </c>
      <c r="O35" s="167">
        <v>5000</v>
      </c>
      <c r="P35" s="167"/>
      <c r="Q35" s="167"/>
      <c r="R35" s="167"/>
      <c r="S35" s="167"/>
      <c r="T35" s="167"/>
      <c r="U35" s="167"/>
      <c r="V35" s="167"/>
      <c r="W35" s="697"/>
      <c r="X35" s="697"/>
      <c r="Y35" s="167"/>
      <c r="Z35" s="167"/>
      <c r="AA35" s="167"/>
      <c r="AB35" s="167">
        <f t="shared" si="0"/>
        <v>0</v>
      </c>
      <c r="AC35" s="167">
        <f t="shared" si="1"/>
        <v>5000</v>
      </c>
      <c r="AD35" s="167">
        <f t="shared" si="2"/>
        <v>5000</v>
      </c>
    </row>
    <row r="36" spans="1:32" ht="21.75" customHeight="1" x14ac:dyDescent="0.25">
      <c r="A36" s="25" t="s">
        <v>268</v>
      </c>
      <c r="B36" s="27" t="s">
        <v>240</v>
      </c>
      <c r="C36" s="31" t="s">
        <v>217</v>
      </c>
      <c r="D36" s="167"/>
      <c r="E36" s="167"/>
      <c r="F36" s="167"/>
      <c r="G36" s="167"/>
      <c r="H36" s="167"/>
      <c r="I36" s="167"/>
      <c r="J36" s="167"/>
      <c r="K36" s="167"/>
      <c r="L36" s="167"/>
      <c r="M36" s="167"/>
      <c r="N36" s="167"/>
      <c r="O36" s="167"/>
      <c r="P36" s="167"/>
      <c r="Q36" s="167"/>
      <c r="R36" s="167"/>
      <c r="S36" s="167"/>
      <c r="T36" s="167"/>
      <c r="U36" s="167"/>
      <c r="V36" s="167"/>
      <c r="W36" s="697">
        <v>295000</v>
      </c>
      <c r="X36" s="697">
        <v>295000</v>
      </c>
      <c r="Y36" s="167"/>
      <c r="Z36" s="167"/>
      <c r="AA36" s="167"/>
      <c r="AB36" s="167">
        <f t="shared" si="0"/>
        <v>0</v>
      </c>
      <c r="AC36" s="167">
        <f t="shared" si="1"/>
        <v>295000</v>
      </c>
      <c r="AD36" s="167">
        <f t="shared" si="2"/>
        <v>295000</v>
      </c>
    </row>
    <row r="37" spans="1:32" ht="21.75" customHeight="1" x14ac:dyDescent="0.25">
      <c r="A37" s="25" t="s">
        <v>269</v>
      </c>
      <c r="B37" s="27" t="s">
        <v>241</v>
      </c>
      <c r="C37" s="31" t="s">
        <v>218</v>
      </c>
      <c r="D37" s="167"/>
      <c r="E37" s="167"/>
      <c r="F37" s="167"/>
      <c r="G37" s="167"/>
      <c r="H37" s="167"/>
      <c r="I37" s="167"/>
      <c r="J37" s="167"/>
      <c r="K37" s="167"/>
      <c r="L37" s="167"/>
      <c r="M37" s="167"/>
      <c r="N37" s="167"/>
      <c r="O37" s="167"/>
      <c r="P37" s="167"/>
      <c r="Q37" s="167"/>
      <c r="R37" s="167"/>
      <c r="S37" s="167"/>
      <c r="T37" s="167"/>
      <c r="U37" s="167"/>
      <c r="V37" s="167"/>
      <c r="W37" s="697"/>
      <c r="X37" s="697"/>
      <c r="Y37" s="167"/>
      <c r="Z37" s="167"/>
      <c r="AA37" s="167"/>
      <c r="AB37" s="167">
        <f t="shared" si="0"/>
        <v>0</v>
      </c>
      <c r="AC37" s="167">
        <f t="shared" si="1"/>
        <v>0</v>
      </c>
      <c r="AD37" s="167">
        <f t="shared" si="2"/>
        <v>0</v>
      </c>
      <c r="AF37" s="21"/>
    </row>
    <row r="38" spans="1:32" ht="21.75" customHeight="1" x14ac:dyDescent="0.25">
      <c r="A38" s="25" t="s">
        <v>270</v>
      </c>
      <c r="B38" s="28" t="s">
        <v>242</v>
      </c>
      <c r="C38" s="31" t="s">
        <v>219</v>
      </c>
      <c r="D38" s="167">
        <f>+D31+D32+D33+D34+D35+D36+D37</f>
        <v>0</v>
      </c>
      <c r="E38" s="167">
        <f t="shared" ref="E38:AB38" si="9">+E31+E32+E33+E34+E35+E36+E37</f>
        <v>0</v>
      </c>
      <c r="F38" s="167">
        <f t="shared" si="9"/>
        <v>0</v>
      </c>
      <c r="G38" s="167">
        <f t="shared" si="9"/>
        <v>0</v>
      </c>
      <c r="H38" s="167">
        <f t="shared" si="9"/>
        <v>11415</v>
      </c>
      <c r="I38" s="167">
        <f t="shared" si="9"/>
        <v>11415</v>
      </c>
      <c r="J38" s="167">
        <f t="shared" si="9"/>
        <v>0</v>
      </c>
      <c r="K38" s="167">
        <f t="shared" si="9"/>
        <v>0</v>
      </c>
      <c r="L38" s="167">
        <f t="shared" si="9"/>
        <v>0</v>
      </c>
      <c r="M38" s="167">
        <f t="shared" si="9"/>
        <v>566100</v>
      </c>
      <c r="N38" s="167">
        <f t="shared" si="9"/>
        <v>1089602</v>
      </c>
      <c r="O38" s="167">
        <f t="shared" si="9"/>
        <v>1089602</v>
      </c>
      <c r="P38" s="167">
        <f>+P31+P32+P33+P34+P35+P36+P37</f>
        <v>0</v>
      </c>
      <c r="Q38" s="167">
        <f>+Q31+Q32+Q33+Q34+Q35+Q36+Q37</f>
        <v>0</v>
      </c>
      <c r="R38" s="167">
        <f>+R31+R32+R33+R34+R35+R36+R37</f>
        <v>0</v>
      </c>
      <c r="S38" s="167">
        <f t="shared" si="9"/>
        <v>0</v>
      </c>
      <c r="T38" s="167">
        <f t="shared" si="9"/>
        <v>0</v>
      </c>
      <c r="U38" s="167">
        <f t="shared" si="9"/>
        <v>0</v>
      </c>
      <c r="V38" s="167">
        <f t="shared" si="9"/>
        <v>0</v>
      </c>
      <c r="W38" s="697">
        <f t="shared" si="9"/>
        <v>295001</v>
      </c>
      <c r="X38" s="697">
        <f t="shared" si="9"/>
        <v>295001</v>
      </c>
      <c r="Y38" s="167">
        <f t="shared" si="9"/>
        <v>127000</v>
      </c>
      <c r="Z38" s="167">
        <f t="shared" si="9"/>
        <v>0</v>
      </c>
      <c r="AA38" s="167">
        <f t="shared" si="9"/>
        <v>0</v>
      </c>
      <c r="AB38" s="168">
        <f t="shared" si="9"/>
        <v>693100</v>
      </c>
      <c r="AC38" s="168">
        <f t="shared" si="1"/>
        <v>1396018</v>
      </c>
      <c r="AD38" s="168">
        <f t="shared" si="2"/>
        <v>1396018</v>
      </c>
    </row>
    <row r="39" spans="1:32" ht="21.75" customHeight="1" x14ac:dyDescent="0.25">
      <c r="A39" s="25" t="s">
        <v>271</v>
      </c>
      <c r="B39" s="31" t="s">
        <v>243</v>
      </c>
      <c r="C39" s="26" t="s">
        <v>221</v>
      </c>
      <c r="D39" s="167">
        <f>SUM(D41:D45)</f>
        <v>81394164</v>
      </c>
      <c r="E39" s="167">
        <f t="shared" ref="E39:AB39" si="10">SUM(E41:E45)</f>
        <v>99157988</v>
      </c>
      <c r="F39" s="167">
        <f t="shared" si="10"/>
        <v>86200840</v>
      </c>
      <c r="G39" s="167">
        <f t="shared" si="10"/>
        <v>0</v>
      </c>
      <c r="H39" s="167">
        <f t="shared" si="10"/>
        <v>0</v>
      </c>
      <c r="I39" s="167">
        <f t="shared" si="10"/>
        <v>0</v>
      </c>
      <c r="J39" s="167">
        <f t="shared" si="10"/>
        <v>0</v>
      </c>
      <c r="K39" s="167">
        <f t="shared" si="10"/>
        <v>0</v>
      </c>
      <c r="L39" s="167">
        <f t="shared" si="10"/>
        <v>0</v>
      </c>
      <c r="M39" s="167">
        <f t="shared" si="10"/>
        <v>0</v>
      </c>
      <c r="N39" s="167">
        <f t="shared" si="10"/>
        <v>0</v>
      </c>
      <c r="O39" s="167">
        <f t="shared" si="10"/>
        <v>0</v>
      </c>
      <c r="P39" s="167">
        <f>SUM(P41:P45)</f>
        <v>0</v>
      </c>
      <c r="Q39" s="167">
        <f>SUM(Q41:Q45)</f>
        <v>0</v>
      </c>
      <c r="R39" s="167">
        <f>SUM(R41:R45)</f>
        <v>0</v>
      </c>
      <c r="S39" s="167">
        <f t="shared" si="10"/>
        <v>0</v>
      </c>
      <c r="T39" s="167">
        <f t="shared" si="10"/>
        <v>0</v>
      </c>
      <c r="U39" s="167">
        <f t="shared" si="10"/>
        <v>0</v>
      </c>
      <c r="V39" s="167">
        <f t="shared" si="10"/>
        <v>0</v>
      </c>
      <c r="W39" s="697">
        <f t="shared" si="10"/>
        <v>340528</v>
      </c>
      <c r="X39" s="697">
        <f t="shared" si="10"/>
        <v>340528</v>
      </c>
      <c r="Y39" s="167">
        <f t="shared" si="10"/>
        <v>0</v>
      </c>
      <c r="Z39" s="167">
        <f t="shared" si="10"/>
        <v>0</v>
      </c>
      <c r="AA39" s="167">
        <f t="shared" si="10"/>
        <v>0</v>
      </c>
      <c r="AB39" s="167">
        <f t="shared" si="10"/>
        <v>81394164</v>
      </c>
      <c r="AC39" s="167">
        <f t="shared" si="1"/>
        <v>99498516</v>
      </c>
      <c r="AD39" s="167">
        <f t="shared" si="2"/>
        <v>86541368</v>
      </c>
    </row>
    <row r="40" spans="1:32" ht="21.75" customHeight="1" x14ac:dyDescent="0.25">
      <c r="A40" s="25" t="s">
        <v>272</v>
      </c>
      <c r="B40" s="90" t="s">
        <v>533</v>
      </c>
      <c r="C40" s="26"/>
      <c r="D40" s="167"/>
      <c r="E40" s="167"/>
      <c r="F40" s="167"/>
      <c r="G40" s="167"/>
      <c r="H40" s="167"/>
      <c r="I40" s="167"/>
      <c r="J40" s="167"/>
      <c r="K40" s="167"/>
      <c r="L40" s="167"/>
      <c r="M40" s="167"/>
      <c r="N40" s="167"/>
      <c r="O40" s="167"/>
      <c r="P40" s="167"/>
      <c r="Q40" s="167"/>
      <c r="R40" s="167"/>
      <c r="S40" s="167"/>
      <c r="T40" s="167"/>
      <c r="U40" s="167"/>
      <c r="V40" s="167"/>
      <c r="W40" s="697"/>
      <c r="X40" s="697"/>
      <c r="Y40" s="167"/>
      <c r="Z40" s="167"/>
      <c r="AA40" s="167"/>
      <c r="AB40" s="167">
        <f t="shared" si="0"/>
        <v>0</v>
      </c>
      <c r="AC40" s="167">
        <f t="shared" si="1"/>
        <v>0</v>
      </c>
      <c r="AD40" s="167">
        <f t="shared" si="2"/>
        <v>0</v>
      </c>
    </row>
    <row r="41" spans="1:32" ht="21.75" customHeight="1" x14ac:dyDescent="0.25">
      <c r="A41" s="25" t="s">
        <v>273</v>
      </c>
      <c r="B41" s="32" t="s">
        <v>768</v>
      </c>
      <c r="C41" s="30"/>
      <c r="D41" s="167">
        <f>22948+63043</f>
        <v>85991</v>
      </c>
      <c r="E41" s="167">
        <f>22948+63043+6237769</f>
        <v>6323760</v>
      </c>
      <c r="F41" s="167">
        <v>6323760</v>
      </c>
      <c r="G41" s="167"/>
      <c r="H41" s="167"/>
      <c r="I41" s="167"/>
      <c r="J41" s="167"/>
      <c r="K41" s="167"/>
      <c r="L41" s="167"/>
      <c r="M41" s="167"/>
      <c r="N41" s="167"/>
      <c r="O41" s="167"/>
      <c r="P41" s="167"/>
      <c r="Q41" s="167"/>
      <c r="R41" s="167"/>
      <c r="S41" s="167"/>
      <c r="T41" s="167"/>
      <c r="U41" s="167"/>
      <c r="V41" s="167"/>
      <c r="W41" s="697"/>
      <c r="X41" s="697"/>
      <c r="Y41" s="167"/>
      <c r="Z41" s="167"/>
      <c r="AA41" s="167"/>
      <c r="AB41" s="167">
        <f t="shared" si="0"/>
        <v>85991</v>
      </c>
      <c r="AC41" s="167">
        <f t="shared" si="1"/>
        <v>6323760</v>
      </c>
      <c r="AD41" s="167">
        <f t="shared" si="2"/>
        <v>6323760</v>
      </c>
    </row>
    <row r="42" spans="1:32" ht="21.75" customHeight="1" x14ac:dyDescent="0.25">
      <c r="A42" s="25" t="s">
        <v>277</v>
      </c>
      <c r="B42" s="32" t="s">
        <v>769</v>
      </c>
      <c r="C42" s="30"/>
      <c r="D42" s="167">
        <v>340528</v>
      </c>
      <c r="E42" s="167">
        <f>340528-340528</f>
        <v>0</v>
      </c>
      <c r="F42" s="167"/>
      <c r="G42" s="167"/>
      <c r="H42" s="167"/>
      <c r="I42" s="167"/>
      <c r="J42" s="167"/>
      <c r="K42" s="167"/>
      <c r="L42" s="167"/>
      <c r="M42" s="167"/>
      <c r="N42" s="167"/>
      <c r="O42" s="167"/>
      <c r="P42" s="167"/>
      <c r="Q42" s="167"/>
      <c r="R42" s="167"/>
      <c r="S42" s="167"/>
      <c r="T42" s="167"/>
      <c r="U42" s="167"/>
      <c r="V42" s="167"/>
      <c r="W42" s="697">
        <v>340528</v>
      </c>
      <c r="X42" s="697">
        <v>340528</v>
      </c>
      <c r="Y42" s="167"/>
      <c r="Z42" s="167"/>
      <c r="AA42" s="167"/>
      <c r="AB42" s="167">
        <f t="shared" si="0"/>
        <v>340528</v>
      </c>
      <c r="AC42" s="167">
        <f t="shared" si="1"/>
        <v>340528</v>
      </c>
      <c r="AD42" s="167">
        <f t="shared" si="2"/>
        <v>340528</v>
      </c>
    </row>
    <row r="43" spans="1:32" ht="21.75" customHeight="1" x14ac:dyDescent="0.25">
      <c r="A43" s="25" t="s">
        <v>278</v>
      </c>
      <c r="B43" s="32" t="s">
        <v>506</v>
      </c>
      <c r="C43" s="30"/>
      <c r="D43" s="167">
        <f>+AB28-AB31-AB33-AB34-AB36-AB41</f>
        <v>78745145</v>
      </c>
      <c r="E43" s="167">
        <f>+AC28-AC31-AC33-AC34-AC36-AC41</f>
        <v>90180221</v>
      </c>
      <c r="F43" s="167">
        <f>79877080-F44</f>
        <v>77223073</v>
      </c>
      <c r="G43" s="167"/>
      <c r="H43" s="167"/>
      <c r="I43" s="167"/>
      <c r="J43" s="167"/>
      <c r="K43" s="167"/>
      <c r="L43" s="167"/>
      <c r="M43" s="167"/>
      <c r="N43" s="167"/>
      <c r="O43" s="167"/>
      <c r="P43" s="167"/>
      <c r="Q43" s="167"/>
      <c r="R43" s="167"/>
      <c r="S43" s="167"/>
      <c r="T43" s="167"/>
      <c r="U43" s="167"/>
      <c r="V43" s="167"/>
      <c r="W43" s="697"/>
      <c r="X43" s="697"/>
      <c r="Y43" s="167"/>
      <c r="Z43" s="167"/>
      <c r="AA43" s="167"/>
      <c r="AB43" s="167">
        <f t="shared" si="0"/>
        <v>78745145</v>
      </c>
      <c r="AC43" s="167">
        <f t="shared" si="1"/>
        <v>90180221</v>
      </c>
      <c r="AD43" s="167">
        <f t="shared" si="2"/>
        <v>77223073</v>
      </c>
    </row>
    <row r="44" spans="1:32" ht="21.75" customHeight="1" x14ac:dyDescent="0.25">
      <c r="A44" s="25" t="s">
        <v>279</v>
      </c>
      <c r="B44" s="32" t="s">
        <v>507</v>
      </c>
      <c r="C44" s="30"/>
      <c r="D44" s="167">
        <f>+AB29-AB32-AB35-AB37-AB42</f>
        <v>2222500</v>
      </c>
      <c r="E44" s="167">
        <f>+AC29-AC32-AC35-AC37-AC42</f>
        <v>2654007</v>
      </c>
      <c r="F44" s="167">
        <v>2654007</v>
      </c>
      <c r="G44" s="167"/>
      <c r="H44" s="167"/>
      <c r="I44" s="167"/>
      <c r="J44" s="167"/>
      <c r="K44" s="167"/>
      <c r="L44" s="167"/>
      <c r="M44" s="167"/>
      <c r="N44" s="167"/>
      <c r="O44" s="167"/>
      <c r="P44" s="167"/>
      <c r="Q44" s="167"/>
      <c r="R44" s="167"/>
      <c r="S44" s="167"/>
      <c r="T44" s="167"/>
      <c r="U44" s="167"/>
      <c r="V44" s="167"/>
      <c r="W44" s="697"/>
      <c r="X44" s="697"/>
      <c r="Y44" s="167"/>
      <c r="Z44" s="167"/>
      <c r="AA44" s="167"/>
      <c r="AB44" s="167">
        <f t="shared" si="0"/>
        <v>2222500</v>
      </c>
      <c r="AC44" s="167">
        <f t="shared" si="1"/>
        <v>2654007</v>
      </c>
      <c r="AD44" s="167">
        <f t="shared" si="2"/>
        <v>2654007</v>
      </c>
    </row>
    <row r="45" spans="1:32" ht="21.75" customHeight="1" x14ac:dyDescent="0.25">
      <c r="A45" s="25" t="s">
        <v>280</v>
      </c>
      <c r="B45" s="32" t="s">
        <v>542</v>
      </c>
      <c r="C45" s="30"/>
      <c r="D45" s="167"/>
      <c r="E45" s="167"/>
      <c r="F45" s="167"/>
      <c r="G45" s="167"/>
      <c r="H45" s="167"/>
      <c r="I45" s="167"/>
      <c r="J45" s="167"/>
      <c r="K45" s="167"/>
      <c r="L45" s="167"/>
      <c r="M45" s="167"/>
      <c r="N45" s="167"/>
      <c r="O45" s="167"/>
      <c r="P45" s="167"/>
      <c r="Q45" s="167"/>
      <c r="R45" s="167"/>
      <c r="S45" s="167"/>
      <c r="T45" s="167"/>
      <c r="U45" s="167"/>
      <c r="V45" s="167"/>
      <c r="W45" s="697"/>
      <c r="X45" s="697"/>
      <c r="Y45" s="167"/>
      <c r="Z45" s="167"/>
      <c r="AA45" s="167"/>
      <c r="AB45" s="167">
        <f t="shared" si="0"/>
        <v>0</v>
      </c>
      <c r="AC45" s="167">
        <f t="shared" si="1"/>
        <v>0</v>
      </c>
      <c r="AD45" s="167">
        <f t="shared" si="2"/>
        <v>0</v>
      </c>
    </row>
    <row r="46" spans="1:32" ht="21.75" customHeight="1" x14ac:dyDescent="0.25">
      <c r="A46" s="25" t="s">
        <v>281</v>
      </c>
      <c r="B46" s="222" t="s">
        <v>741</v>
      </c>
      <c r="C46" s="30"/>
      <c r="D46" s="167"/>
      <c r="E46" s="167"/>
      <c r="F46" s="167"/>
      <c r="G46" s="167"/>
      <c r="H46" s="167"/>
      <c r="I46" s="167"/>
      <c r="J46" s="167"/>
      <c r="K46" s="167"/>
      <c r="L46" s="167"/>
      <c r="M46" s="167"/>
      <c r="N46" s="167"/>
      <c r="O46" s="167"/>
      <c r="P46" s="167"/>
      <c r="Q46" s="167"/>
      <c r="R46" s="167"/>
      <c r="S46" s="167"/>
      <c r="T46" s="167"/>
      <c r="U46" s="167"/>
      <c r="V46" s="167"/>
      <c r="W46" s="697"/>
      <c r="X46" s="697"/>
      <c r="Y46" s="167"/>
      <c r="Z46" s="167"/>
      <c r="AA46" s="167"/>
      <c r="AB46" s="167">
        <f t="shared" si="0"/>
        <v>0</v>
      </c>
      <c r="AC46" s="167">
        <f t="shared" si="1"/>
        <v>0</v>
      </c>
      <c r="AD46" s="167">
        <f t="shared" si="2"/>
        <v>0</v>
      </c>
    </row>
    <row r="47" spans="1:32" ht="21.75" customHeight="1" x14ac:dyDescent="0.25">
      <c r="A47" s="25" t="s">
        <v>282</v>
      </c>
      <c r="B47" s="33" t="s">
        <v>109</v>
      </c>
      <c r="C47" s="26"/>
      <c r="D47" s="168">
        <f>+D31+D33+D34+D36+D41+D43</f>
        <v>78831136</v>
      </c>
      <c r="E47" s="168">
        <f t="shared" ref="E47:AB47" si="11">+E31+E33+E34+E36+E41+E43</f>
        <v>96503981</v>
      </c>
      <c r="F47" s="168">
        <f t="shared" si="11"/>
        <v>83546833</v>
      </c>
      <c r="G47" s="168">
        <f t="shared" si="11"/>
        <v>0</v>
      </c>
      <c r="H47" s="168">
        <f t="shared" si="11"/>
        <v>11415</v>
      </c>
      <c r="I47" s="168">
        <f t="shared" si="11"/>
        <v>11415</v>
      </c>
      <c r="J47" s="168">
        <f t="shared" si="11"/>
        <v>0</v>
      </c>
      <c r="K47" s="168">
        <f t="shared" si="11"/>
        <v>0</v>
      </c>
      <c r="L47" s="168">
        <f t="shared" si="11"/>
        <v>0</v>
      </c>
      <c r="M47" s="168">
        <f t="shared" si="11"/>
        <v>566100</v>
      </c>
      <c r="N47" s="168">
        <f t="shared" si="11"/>
        <v>1084602</v>
      </c>
      <c r="O47" s="168">
        <f t="shared" si="11"/>
        <v>1084602</v>
      </c>
      <c r="P47" s="168">
        <f>+P31+P33+P34+P36+P41+P43</f>
        <v>0</v>
      </c>
      <c r="Q47" s="168">
        <f>+Q31+Q33+Q34+Q36+Q41+Q43</f>
        <v>0</v>
      </c>
      <c r="R47" s="168">
        <f>+R31+R33+R34+R36+R41+R43</f>
        <v>0</v>
      </c>
      <c r="S47" s="168">
        <f t="shared" si="11"/>
        <v>0</v>
      </c>
      <c r="T47" s="168">
        <f t="shared" si="11"/>
        <v>0</v>
      </c>
      <c r="U47" s="168">
        <f t="shared" si="11"/>
        <v>0</v>
      </c>
      <c r="V47" s="168">
        <f t="shared" si="11"/>
        <v>0</v>
      </c>
      <c r="W47" s="698">
        <f t="shared" si="11"/>
        <v>295001</v>
      </c>
      <c r="X47" s="698">
        <f t="shared" si="11"/>
        <v>295001</v>
      </c>
      <c r="Y47" s="168">
        <f t="shared" si="11"/>
        <v>127000</v>
      </c>
      <c r="Z47" s="168">
        <f t="shared" si="11"/>
        <v>0</v>
      </c>
      <c r="AA47" s="168">
        <f t="shared" si="11"/>
        <v>0</v>
      </c>
      <c r="AB47" s="168">
        <f t="shared" si="11"/>
        <v>79524236</v>
      </c>
      <c r="AC47" s="168">
        <f t="shared" si="1"/>
        <v>97894999</v>
      </c>
      <c r="AD47" s="168">
        <f t="shared" si="2"/>
        <v>84937851</v>
      </c>
    </row>
    <row r="48" spans="1:32" ht="21.75" customHeight="1" x14ac:dyDescent="0.25">
      <c r="A48" s="25" t="s">
        <v>283</v>
      </c>
      <c r="B48" s="33" t="s">
        <v>110</v>
      </c>
      <c r="C48" s="26"/>
      <c r="D48" s="168">
        <f>+D32+D35+D37+D42+D429+D45+D44</f>
        <v>2563028</v>
      </c>
      <c r="E48" s="168">
        <f t="shared" ref="E48:AB48" si="12">+E32+E35+E37+E42+E429+E45+E44</f>
        <v>2654007</v>
      </c>
      <c r="F48" s="168">
        <f t="shared" si="12"/>
        <v>2654007</v>
      </c>
      <c r="G48" s="168">
        <f t="shared" si="12"/>
        <v>0</v>
      </c>
      <c r="H48" s="168">
        <f t="shared" si="12"/>
        <v>0</v>
      </c>
      <c r="I48" s="168">
        <f t="shared" si="12"/>
        <v>0</v>
      </c>
      <c r="J48" s="168">
        <f t="shared" si="12"/>
        <v>0</v>
      </c>
      <c r="K48" s="168">
        <f t="shared" si="12"/>
        <v>0</v>
      </c>
      <c r="L48" s="168">
        <f t="shared" si="12"/>
        <v>0</v>
      </c>
      <c r="M48" s="168">
        <f t="shared" si="12"/>
        <v>0</v>
      </c>
      <c r="N48" s="168">
        <f t="shared" si="12"/>
        <v>5000</v>
      </c>
      <c r="O48" s="168">
        <f t="shared" si="12"/>
        <v>5000</v>
      </c>
      <c r="P48" s="168">
        <f>+P32+P35+P37+P42+P429+P45+P44</f>
        <v>0</v>
      </c>
      <c r="Q48" s="168">
        <f>+Q32+Q35+Q37+Q42+Q429+Q45+Q44</f>
        <v>0</v>
      </c>
      <c r="R48" s="168">
        <f>+R32+R35+R37+R42+R429+R45+R44</f>
        <v>0</v>
      </c>
      <c r="S48" s="168">
        <f t="shared" si="12"/>
        <v>0</v>
      </c>
      <c r="T48" s="168">
        <f t="shared" si="12"/>
        <v>0</v>
      </c>
      <c r="U48" s="168">
        <f t="shared" si="12"/>
        <v>0</v>
      </c>
      <c r="V48" s="168">
        <f t="shared" si="12"/>
        <v>0</v>
      </c>
      <c r="W48" s="698">
        <f t="shared" si="12"/>
        <v>340528</v>
      </c>
      <c r="X48" s="698">
        <f t="shared" si="12"/>
        <v>340528</v>
      </c>
      <c r="Y48" s="168">
        <f t="shared" si="12"/>
        <v>0</v>
      </c>
      <c r="Z48" s="168">
        <f t="shared" si="12"/>
        <v>0</v>
      </c>
      <c r="AA48" s="168">
        <f t="shared" si="12"/>
        <v>0</v>
      </c>
      <c r="AB48" s="168">
        <f t="shared" si="12"/>
        <v>2563028</v>
      </c>
      <c r="AC48" s="168">
        <f t="shared" si="1"/>
        <v>2999535</v>
      </c>
      <c r="AD48" s="168">
        <f t="shared" si="2"/>
        <v>2999535</v>
      </c>
    </row>
    <row r="49" spans="1:31" ht="21.75" customHeight="1" x14ac:dyDescent="0.25">
      <c r="A49" s="25" t="s">
        <v>284</v>
      </c>
      <c r="B49" s="33" t="s">
        <v>329</v>
      </c>
      <c r="C49" s="26"/>
      <c r="D49" s="168">
        <f>+D47+D48</f>
        <v>81394164</v>
      </c>
      <c r="E49" s="168">
        <f t="shared" ref="E49:AB49" si="13">+E47+E48</f>
        <v>99157988</v>
      </c>
      <c r="F49" s="168">
        <f t="shared" si="13"/>
        <v>86200840</v>
      </c>
      <c r="G49" s="168">
        <f t="shared" si="13"/>
        <v>0</v>
      </c>
      <c r="H49" s="168">
        <f t="shared" si="13"/>
        <v>11415</v>
      </c>
      <c r="I49" s="168">
        <f t="shared" si="13"/>
        <v>11415</v>
      </c>
      <c r="J49" s="168">
        <f t="shared" si="13"/>
        <v>0</v>
      </c>
      <c r="K49" s="168">
        <f t="shared" si="13"/>
        <v>0</v>
      </c>
      <c r="L49" s="168">
        <f t="shared" si="13"/>
        <v>0</v>
      </c>
      <c r="M49" s="168">
        <f t="shared" si="13"/>
        <v>566100</v>
      </c>
      <c r="N49" s="168">
        <f t="shared" si="13"/>
        <v>1089602</v>
      </c>
      <c r="O49" s="168">
        <f t="shared" si="13"/>
        <v>1089602</v>
      </c>
      <c r="P49" s="168">
        <f>+P47+P48</f>
        <v>0</v>
      </c>
      <c r="Q49" s="168">
        <f>+Q47+Q48</f>
        <v>0</v>
      </c>
      <c r="R49" s="168">
        <f>+R47+R48</f>
        <v>0</v>
      </c>
      <c r="S49" s="168">
        <f t="shared" si="13"/>
        <v>0</v>
      </c>
      <c r="T49" s="168">
        <f t="shared" si="13"/>
        <v>0</v>
      </c>
      <c r="U49" s="168">
        <f t="shared" si="13"/>
        <v>0</v>
      </c>
      <c r="V49" s="168">
        <f t="shared" si="13"/>
        <v>0</v>
      </c>
      <c r="W49" s="698">
        <f t="shared" si="13"/>
        <v>635529</v>
      </c>
      <c r="X49" s="698">
        <f t="shared" si="13"/>
        <v>635529</v>
      </c>
      <c r="Y49" s="168">
        <f t="shared" si="13"/>
        <v>127000</v>
      </c>
      <c r="Z49" s="168">
        <f t="shared" si="13"/>
        <v>0</v>
      </c>
      <c r="AA49" s="168">
        <f t="shared" si="13"/>
        <v>0</v>
      </c>
      <c r="AB49" s="168">
        <f t="shared" si="13"/>
        <v>82087264</v>
      </c>
      <c r="AC49" s="168">
        <f t="shared" si="1"/>
        <v>100894534</v>
      </c>
      <c r="AD49" s="168">
        <f t="shared" si="2"/>
        <v>87937386</v>
      </c>
    </row>
    <row r="50" spans="1:31" s="764" customFormat="1" ht="21.75" customHeight="1" x14ac:dyDescent="0.25">
      <c r="A50" s="761" t="s">
        <v>285</v>
      </c>
      <c r="B50" s="296" t="s">
        <v>2075</v>
      </c>
      <c r="C50" s="763"/>
      <c r="D50" s="763"/>
      <c r="E50" s="763"/>
      <c r="F50" s="763"/>
      <c r="G50" s="763"/>
      <c r="H50" s="763"/>
      <c r="I50" s="763"/>
      <c r="J50" s="763"/>
      <c r="K50" s="763"/>
      <c r="L50" s="763"/>
      <c r="M50" s="763">
        <v>7</v>
      </c>
      <c r="N50" s="763">
        <v>7</v>
      </c>
      <c r="O50" s="763">
        <v>6.3</v>
      </c>
      <c r="P50" s="763"/>
      <c r="Q50" s="763"/>
      <c r="R50" s="763"/>
      <c r="S50" s="763"/>
      <c r="T50" s="763"/>
      <c r="U50" s="763"/>
      <c r="V50" s="763"/>
      <c r="W50" s="768"/>
      <c r="X50" s="768"/>
      <c r="Y50" s="763"/>
      <c r="Z50" s="763"/>
      <c r="AA50" s="763"/>
      <c r="AB50" s="763">
        <f t="shared" si="0"/>
        <v>7</v>
      </c>
      <c r="AC50" s="763">
        <f t="shared" si="1"/>
        <v>7</v>
      </c>
      <c r="AD50" s="763">
        <f>F50+I50+L50+O50+U50+X50+AA50+R50</f>
        <v>6.3</v>
      </c>
      <c r="AE50" s="764">
        <f>AB49-AB30</f>
        <v>0</v>
      </c>
    </row>
    <row r="51" spans="1:31" ht="21.75" customHeight="1" x14ac:dyDescent="0.25">
      <c r="A51" s="25" t="s">
        <v>286</v>
      </c>
      <c r="B51" s="46" t="s">
        <v>964</v>
      </c>
      <c r="C51" s="172"/>
      <c r="D51" s="198"/>
      <c r="E51" s="198"/>
      <c r="F51" s="198"/>
      <c r="G51" s="198"/>
      <c r="H51" s="198"/>
      <c r="I51" s="198"/>
      <c r="J51" s="198"/>
      <c r="K51" s="198"/>
      <c r="L51" s="198"/>
      <c r="M51" s="198"/>
      <c r="N51" s="198"/>
      <c r="O51" s="198"/>
      <c r="P51" s="198"/>
      <c r="Q51" s="198"/>
      <c r="R51" s="198"/>
      <c r="S51" s="198"/>
      <c r="T51" s="198"/>
      <c r="U51" s="198"/>
      <c r="V51" s="198"/>
      <c r="W51" s="699"/>
      <c r="X51" s="699"/>
      <c r="Y51" s="198"/>
      <c r="Z51" s="198"/>
      <c r="AA51" s="198"/>
      <c r="AB51" s="198"/>
      <c r="AC51" s="198"/>
      <c r="AD51" s="198"/>
      <c r="AE51" s="80"/>
    </row>
  </sheetData>
  <mergeCells count="35">
    <mergeCell ref="P2:U2"/>
    <mergeCell ref="V2:AA2"/>
    <mergeCell ref="AB2:AD2"/>
    <mergeCell ref="V6:X7"/>
    <mergeCell ref="Y6:AA7"/>
    <mergeCell ref="AB4:AD7"/>
    <mergeCell ref="V5:X5"/>
    <mergeCell ref="Y5:AA5"/>
    <mergeCell ref="P4:R4"/>
    <mergeCell ref="P5:R5"/>
    <mergeCell ref="S5:U5"/>
    <mergeCell ref="S4:U4"/>
    <mergeCell ref="V4:X4"/>
    <mergeCell ref="Y4:AA4"/>
    <mergeCell ref="D6:F7"/>
    <mergeCell ref="G6:I7"/>
    <mergeCell ref="J6:L7"/>
    <mergeCell ref="M6:O7"/>
    <mergeCell ref="S6:U7"/>
    <mergeCell ref="P6:R7"/>
    <mergeCell ref="D2:I2"/>
    <mergeCell ref="J2:O2"/>
    <mergeCell ref="D5:F5"/>
    <mergeCell ref="G5:I5"/>
    <mergeCell ref="J5:L5"/>
    <mergeCell ref="M5:O5"/>
    <mergeCell ref="D4:F4"/>
    <mergeCell ref="G4:I4"/>
    <mergeCell ref="J4:L4"/>
    <mergeCell ref="M4:O4"/>
    <mergeCell ref="A4:A7"/>
    <mergeCell ref="B4:C4"/>
    <mergeCell ref="A3:C3"/>
    <mergeCell ref="B5:C5"/>
    <mergeCell ref="B6:C6"/>
  </mergeCells>
  <phoneticPr fontId="44" type="noConversion"/>
  <printOptions horizontalCentered="1" verticalCentered="1"/>
  <pageMargins left="0.35433070866141736" right="0.35433070866141736" top="0.39370078740157483" bottom="0.39370078740157483" header="0.51181102362204722" footer="0.51181102362204722"/>
  <pageSetup paperSize="9" scale="41" orientation="portrait" horizontalDpi="200" verticalDpi="200" r:id="rId1"/>
  <headerFooter alignWithMargins="0">
    <oddHeader>&amp;C2022. évi zárszámadás&amp;R&amp;A</oddHeader>
    <oddFooter>&amp;C&amp;P/&amp;N</oddFooter>
  </headerFooter>
  <colBreaks count="4" manualBreakCount="4">
    <brk id="9" max="50" man="1"/>
    <brk id="15" max="50" man="1"/>
    <brk id="21" max="50" man="1"/>
    <brk id="27"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26</vt:i4>
      </vt:variant>
      <vt:variant>
        <vt:lpstr>Névvel ellátott tartományok</vt:lpstr>
      </vt:variant>
      <vt:variant>
        <vt:i4>48</vt:i4>
      </vt:variant>
    </vt:vector>
  </HeadingPairs>
  <TitlesOfParts>
    <vt:vector size="74" baseType="lpstr">
      <vt:lpstr>1.a sz. Önkormányzat 2022. </vt:lpstr>
      <vt:lpstr>1.b sz. Önkormányzat 2022.</vt:lpstr>
      <vt:lpstr>2.1. sz. PMH</vt:lpstr>
      <vt:lpstr>2.2. sz. Hétszínvirág Óvoda</vt:lpstr>
      <vt:lpstr>2.3. sz. Mese Óvoda</vt:lpstr>
      <vt:lpstr>2.4. sz. Bölcsőde</vt:lpstr>
      <vt:lpstr>2.5. sz. Gyermekjóléti</vt:lpstr>
      <vt:lpstr>2.6 sz. Területi</vt:lpstr>
      <vt:lpstr>2.7. sz. Könyvtár</vt:lpstr>
      <vt:lpstr>2.8. sz. Műv.Ház</vt:lpstr>
      <vt:lpstr>2.9. sz. Szivárvány Ó.</vt:lpstr>
      <vt:lpstr>2.10. sz. Intézmények összesen</vt:lpstr>
      <vt:lpstr>3. sz.Városi szintű összesen</vt:lpstr>
      <vt:lpstr>4.sz.Felhalm.c.pe.átadás</vt:lpstr>
      <vt:lpstr>5.sz.Műk.c.pe.átadás</vt:lpstr>
      <vt:lpstr>6.sz. Beruházások</vt:lpstr>
      <vt:lpstr>7. sz. Felújítások</vt:lpstr>
      <vt:lpstr>8.sz.Tartalékok</vt:lpstr>
      <vt:lpstr>9.sz. Szociális</vt:lpstr>
      <vt:lpstr>10.sz.Intézményfinanszírozás</vt:lpstr>
      <vt:lpstr>11.a.sz. Állami támogatás</vt:lpstr>
      <vt:lpstr>11.b.sz. Műk.célú tám.ÁHbelül</vt:lpstr>
      <vt:lpstr>12.sz.Felh.célú tám.ÁHbelül</vt:lpstr>
      <vt:lpstr>13.sz. Közhatalmi bevételek</vt:lpstr>
      <vt:lpstr>14.sz.Felhalmozási bev</vt:lpstr>
      <vt:lpstr>15.sz.mell. Létszámtábla</vt:lpstr>
      <vt:lpstr>'1.a sz. Önkormányzat 2022. '!Nyomtatási_cím</vt:lpstr>
      <vt:lpstr>'1.b sz. Önkormányzat 2022.'!Nyomtatási_cím</vt:lpstr>
      <vt:lpstr>'11.b.sz. Műk.célú tám.ÁHbelül'!Nyomtatási_cím</vt:lpstr>
      <vt:lpstr>'12.sz.Felh.célú tám.ÁHbelül'!Nyomtatási_cím</vt:lpstr>
      <vt:lpstr>'13.sz. Közhatalmi bevételek'!Nyomtatási_cím</vt:lpstr>
      <vt:lpstr>'15.sz.mell. Létszámtábla'!Nyomtatási_cím</vt:lpstr>
      <vt:lpstr>'2.1. sz. PMH'!Nyomtatási_cím</vt:lpstr>
      <vt:lpstr>'2.10. sz. Intézmények összesen'!Nyomtatási_cím</vt:lpstr>
      <vt:lpstr>'2.2. sz. Hétszínvirág Óvoda'!Nyomtatási_cím</vt:lpstr>
      <vt:lpstr>'2.3. sz. Mese Óvoda'!Nyomtatási_cím</vt:lpstr>
      <vt:lpstr>'2.4. sz. Bölcsőde'!Nyomtatási_cím</vt:lpstr>
      <vt:lpstr>'2.5. sz. Gyermekjóléti'!Nyomtatási_cím</vt:lpstr>
      <vt:lpstr>'2.6 sz. Területi'!Nyomtatási_cím</vt:lpstr>
      <vt:lpstr>'2.7. sz. Könyvtár'!Nyomtatási_cím</vt:lpstr>
      <vt:lpstr>'2.8. sz. Műv.Ház'!Nyomtatási_cím</vt:lpstr>
      <vt:lpstr>'2.9. sz. Szivárvány Ó.'!Nyomtatási_cím</vt:lpstr>
      <vt:lpstr>'3. sz.Városi szintű összesen'!Nyomtatási_cím</vt:lpstr>
      <vt:lpstr>'4.sz.Felhalm.c.pe.átadás'!Nyomtatási_cím</vt:lpstr>
      <vt:lpstr>'5.sz.Műk.c.pe.átadás'!Nyomtatási_cím</vt:lpstr>
      <vt:lpstr>'6.sz. Beruházások'!Nyomtatási_cím</vt:lpstr>
      <vt:lpstr>'7. sz. Felújítások'!Nyomtatási_cím</vt:lpstr>
      <vt:lpstr>'8.sz.Tartalékok'!Nyomtatási_cím</vt:lpstr>
      <vt:lpstr>'1.a sz. Önkormányzat 2022. '!Nyomtatási_terület</vt:lpstr>
      <vt:lpstr>'1.b sz. Önkormányzat 2022.'!Nyomtatási_terület</vt:lpstr>
      <vt:lpstr>'10.sz.Intézményfinanszírozás'!Nyomtatási_terület</vt:lpstr>
      <vt:lpstr>'11.a.sz. Állami támogatás'!Nyomtatási_terület</vt:lpstr>
      <vt:lpstr>'11.b.sz. Műk.célú tám.ÁHbelül'!Nyomtatási_terület</vt:lpstr>
      <vt:lpstr>'12.sz.Felh.célú tám.ÁHbelül'!Nyomtatási_terület</vt:lpstr>
      <vt:lpstr>'13.sz. Közhatalmi bevételek'!Nyomtatási_terület</vt:lpstr>
      <vt:lpstr>'14.sz.Felhalmozási bev'!Nyomtatási_terület</vt:lpstr>
      <vt:lpstr>'15.sz.mell. Létszámtábla'!Nyomtatási_terület</vt:lpstr>
      <vt:lpstr>'2.1. sz. PMH'!Nyomtatási_terület</vt:lpstr>
      <vt:lpstr>'2.10. sz. Intézmények összesen'!Nyomtatási_terület</vt:lpstr>
      <vt:lpstr>'2.2. sz. Hétszínvirág Óvoda'!Nyomtatási_terület</vt:lpstr>
      <vt:lpstr>'2.3. sz. Mese Óvoda'!Nyomtatási_terület</vt:lpstr>
      <vt:lpstr>'2.4. sz. Bölcsőde'!Nyomtatási_terület</vt:lpstr>
      <vt:lpstr>'2.5. sz. Gyermekjóléti'!Nyomtatási_terület</vt:lpstr>
      <vt:lpstr>'2.6 sz. Területi'!Nyomtatási_terület</vt:lpstr>
      <vt:lpstr>'2.7. sz. Könyvtár'!Nyomtatási_terület</vt:lpstr>
      <vt:lpstr>'2.8. sz. Műv.Ház'!Nyomtatási_terület</vt:lpstr>
      <vt:lpstr>'2.9. sz. Szivárvány Ó.'!Nyomtatási_terület</vt:lpstr>
      <vt:lpstr>'3. sz.Városi szintű összesen'!Nyomtatási_terület</vt:lpstr>
      <vt:lpstr>'4.sz.Felhalm.c.pe.átadás'!Nyomtatási_terület</vt:lpstr>
      <vt:lpstr>'5.sz.Műk.c.pe.átadás'!Nyomtatási_terület</vt:lpstr>
      <vt:lpstr>'6.sz. Beruházások'!Nyomtatási_terület</vt:lpstr>
      <vt:lpstr>'7. sz. Felújítások'!Nyomtatási_terület</vt:lpstr>
      <vt:lpstr>'8.sz.Tartalékok'!Nyomtatási_terület</vt:lpstr>
      <vt:lpstr>'9.sz. Szociális'!Nyomtatási_terület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paskoneeva</dc:creator>
  <cp:lastModifiedBy>Gavaldiné Henriett</cp:lastModifiedBy>
  <cp:lastPrinted>2023-05-16T13:52:47Z</cp:lastPrinted>
  <dcterms:created xsi:type="dcterms:W3CDTF">2014-01-08T13:04:31Z</dcterms:created>
  <dcterms:modified xsi:type="dcterms:W3CDTF">2023-05-16T13:55:17Z</dcterms:modified>
</cp:coreProperties>
</file>